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G47" i="5"/>
  <c r="E14" i="6" s="1"/>
  <c r="F47" i="5"/>
  <c r="D14" i="6" s="1"/>
  <c r="F40" i="6"/>
  <c r="F37" i="6" s="1"/>
  <c r="G12" i="6"/>
  <c r="E77" i="1"/>
  <c r="G13" i="6"/>
  <c r="E78" i="1" s="1"/>
  <c r="G11" i="6"/>
  <c r="E76" i="1" s="1"/>
  <c r="D42" i="6"/>
  <c r="E37" i="6"/>
  <c r="I44" i="5" l="1"/>
  <c r="I45" i="5" s="1"/>
  <c r="H45" i="5"/>
  <c r="H27" i="8" s="1"/>
  <c r="G40" i="6"/>
  <c r="E42" i="6"/>
  <c r="F42" i="6"/>
  <c r="D30" i="3"/>
  <c r="F30" i="1" s="1"/>
  <c r="H47" i="5" l="1"/>
  <c r="H46" i="5"/>
  <c r="F14" i="6" s="1"/>
  <c r="I47" i="5"/>
  <c r="I46" i="5"/>
  <c r="G37" i="6"/>
  <c r="I82" i="4" s="1"/>
  <c r="E80" i="4"/>
  <c r="G14" i="6" l="1"/>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<sst xmlns="http://schemas.openxmlformats.org/spreadsheetml/2006/main" count="285" uniqueCount="200">
  <si>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</si>
  <si>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</si>
  <si>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</si>
  <si>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</si>
  <si>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</si>
  <si>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</si>
  <si>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</si>
  <si>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</si>
  <si>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</si>
  <si>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</si>
  <si>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</si>
  <si>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</si>
  <si>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</si>
  <si>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</si>
  <si>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</si>
  <si>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</si>
  <si>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</si>
  <si>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</si>
  <si>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</si>
  <si>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</si>
  <si>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</si>
  <si>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</si>
  <si>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</si>
  <si>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</si>
  <si>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</si>
  <si>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</si>
  <si>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</si>
  <si>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</si>
  <si>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</si>
  <si>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</si>
  <si>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</si>
  <si>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</si>
  <si>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</si>
  <si>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</si>
  <si>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</si>
  <si>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</si>
  <si>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</si>
  <si>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</si>
  <si>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</si>
  <si>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</si>
  <si>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</si>
  <si>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</si>
  <si>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</si>
  <si>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</si>
  <si>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</si>
  <si>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</si>
  <si>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</si>
  <si>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</si>
  <si>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</si>
  <si>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</si>
  <si>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</si>
  <si>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</si>
  <si>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</si>
  <si>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</si>
  <si>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</si>
  <si>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</si>
  <si>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</si>
  <si>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</si>
  <si>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</si>
  <si>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</si>
  <si>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</si>
  <si>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</si>
  <si>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</si>
  <si>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</si>
  <si>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</si>
  <si>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</si>
  <si>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</si>
  <si>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</si>
  <si>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</si>
  <si>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</si>
  <si>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</si>
  <si>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</si>
  <si>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</si>
  <si>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</si>
  <si>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</si>
  <si>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</si>
  <si>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</si>
  <si>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</si>
  <si>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</si>
  <si>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</si>
  <si>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</si>
  <si>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</si>
  <si>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</si>
  <si>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</si>
  <si>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</si>
  <si>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</si>
  <si>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</si>
  <si>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</si>
  <si>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</si>
  <si>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</si>
  <si>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</si>
  <si>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</si>
  <si>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</si>
  <si>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</si>
  <si>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</si>
  <si>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</si>
  <si>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</si>
  <si>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</si>
  <si>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</si>
  <si>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</si>
  <si>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</si>
  <si>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</si>
  <si>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</si>
  <si>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</si>
  <si>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</si>
  <si>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</si>
  <si>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</si>
  <si>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</si>
  <si>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</si>
  <si>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</si>
  <si>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</si>
  <si>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</si>
  <si>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</si>
  <si>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</si>
  <si>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</si>
  <si>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</si>
  <si>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</si>
  <si>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</si>
  <si>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</si>
  <si>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</si>
  <si>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</si>
  <si>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</si>
  <si>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</si>
  <si>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</si>
  <si>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</si>
  <si>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</si>
  <si>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</si>
  <si>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</si>
  <si>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</si>
  <si>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</si>
  <si>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</si>
  <si>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</si>
  <si>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</si>
  <si>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</si>
  <si>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</si>
  <si>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</si>
  <si>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</si>
  <si>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</si>
  <si>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</si>
  <si>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</si>
  <si>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</si>
  <si>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</si>
  <si>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</si>
  <si>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</si>
  <si>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</si>
  <si>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</si>
  <si>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</si>
  <si>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</si>
  <si>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</si>
  <si>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</si>
  <si>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</si>
  <si>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</si>
  <si>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</si>
  <si>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</si>
  <si>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</si>
  <si>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</si>
  <si>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</si>
  <si>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</si>
  <si>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</si>
  <si>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</si>
  <si>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</si>
  <si>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</si>
  <si>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</si>
  <si>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</si>
  <si>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</si>
  <si>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</si>
  <si>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</si>
  <si>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</si>
  <si>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</si>
  <si>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</si>
  <si>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</si>
  <si>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</si>
  <si>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</si>
  <si>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</si>
  <si>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</si>
  <si>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</si>
  <si>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</si>
  <si>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</si>
  <si>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</si>
  <si>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</si>
  <si>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</si>
  <si>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</si>
  <si>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</si>
  <si>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</si>
  <si>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</si>
  <si>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</si>
  <si>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</si>
  <si>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</si>
  <si>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</si>
  <si>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</si>
  <si>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</si>
  <si>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Oberschleißheim</t>
  </si>
  <si>
    <t>Stand: 09.02.2023</t>
  </si>
  <si>
    <t>Die Gemeinde Oberschleißheim setzt sich folgende Ziele:</t>
  </si>
  <si>
    <t>Badersfeld</t>
  </si>
  <si>
    <t>Hochbrück</t>
  </si>
  <si>
    <t>Kreuzstraße</t>
  </si>
  <si>
    <t>Neuherberg</t>
  </si>
  <si>
    <t>Oberschleißheim</t>
  </si>
  <si>
    <t>Riedmoos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</si>
</sst>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7">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12527.4</c:v>
                </c:pt>
                <c:pt idx="1">
                  <c:v>10421.731292324099</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48715.68</c:v>
                </c:pt>
                <c:pt idx="1">
                  <c:v>63795.23236064479</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1849.14</c:v>
                </c:pt>
                <c:pt idx="1">
                  <c:v>1284.5003828850467</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15185.102521008403</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1323488328"/>
        <c:axId val="1323492248"/>
      </c:barChart>
      <c:catAx>
        <c:axId val="1323488328"/>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3492248"/>
        <c:crosses val="autoZero"/>
        <c:auto val="1"/>
        <c:lblAlgn val="ctr"/>
        <c:lblOffset val="100"/>
        <c:noMultiLvlLbl val="0"/>
      </c:catAx>
      <c:valAx>
        <c:axId val="1323492248"/>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3488328"/>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4495</c:v>
                </c:pt>
                <c:pt idx="1">
                  <c:v>0</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15:layout/>
                </c:ext>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62348.33</c:v>
                </c:pt>
                <c:pt idx="1">
                  <c:v>90686.566556862337</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1323488720"/>
        <c:axId val="1323493424"/>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66843.33</c:v>
                </c:pt>
                <c:pt idx="1">
                  <c:v>90686.566556862337</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1323491072"/>
        <c:axId val="1323489504"/>
      </c:scatterChart>
      <c:valAx>
        <c:axId val="1323491072"/>
        <c:scaling>
          <c:orientation val="minMax"/>
        </c:scaling>
        <c:delete val="1"/>
        <c:axPos val="t"/>
        <c:numFmt formatCode="#,##0" sourceLinked="1"/>
        <c:majorTickMark val="out"/>
        <c:minorTickMark val="none"/>
        <c:tickLblPos val="nextTo"/>
        <c:crossAx val="1323489504"/>
        <c:crosses val="max"/>
        <c:crossBetween val="midCat"/>
      </c:valAx>
      <c:valAx>
        <c:axId val="1323489504"/>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1323491072"/>
        <c:crosses val="autoZero"/>
        <c:crossBetween val="midCat"/>
      </c:valAx>
      <c:valAx>
        <c:axId val="1323493424"/>
        <c:scaling>
          <c:orientation val="minMax"/>
        </c:scaling>
        <c:delete val="0"/>
        <c:axPos val="b"/>
        <c:numFmt formatCode="#,###" sourceLinked="0"/>
        <c:majorTickMark val="out"/>
        <c:minorTickMark val="none"/>
        <c:tickLblPos val="nextTo"/>
        <c:txPr>
          <a:bodyPr/>
          <a:lstStyle/>
          <a:p>
            <a:pPr algn="ctr">
              <a:defRPr sz="800"/>
            </a:pPr>
            <a:endParaRPr lang="de-DE"/>
          </a:p>
        </c:txPr>
        <c:crossAx val="1323488720"/>
        <c:crosses val="autoZero"/>
        <c:crossBetween val="between"/>
      </c:valAx>
      <c:catAx>
        <c:axId val="1323488720"/>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23493424"/>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53195.6</c:v>
                </c:pt>
                <c:pt idx="1">
                  <c:v>49251.199999999997</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115579.99</c:v>
                </c:pt>
                <c:pt idx="1">
                  <c:v>183669.04608704965</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4482</c:v>
                </c:pt>
                <c:pt idx="1">
                  <c:v>4800.3497250972296</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1323493032"/>
        <c:axId val="1323489112"/>
      </c:barChart>
      <c:catAx>
        <c:axId val="1323493032"/>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3489112"/>
        <c:crosses val="autoZero"/>
        <c:auto val="1"/>
        <c:lblAlgn val="ctr"/>
        <c:lblOffset val="100"/>
        <c:noMultiLvlLbl val="0"/>
      </c:catAx>
      <c:valAx>
        <c:axId val="132348911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3493032"/>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11218</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162040</c:v>
                </c:pt>
                <c:pt idx="1">
                  <c:v>237720.5958121469</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1323491856"/>
        <c:axId val="1323492640"/>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173258</c:v>
                </c:pt>
                <c:pt idx="1">
                  <c:v>237720.5958121469</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1323487936"/>
        <c:axId val="1323487152"/>
      </c:scatterChart>
      <c:valAx>
        <c:axId val="1323487936"/>
        <c:scaling>
          <c:orientation val="minMax"/>
        </c:scaling>
        <c:delete val="1"/>
        <c:axPos val="t"/>
        <c:numFmt formatCode="#,##0" sourceLinked="1"/>
        <c:majorTickMark val="out"/>
        <c:minorTickMark val="none"/>
        <c:tickLblPos val="nextTo"/>
        <c:crossAx val="1323487152"/>
        <c:crosses val="max"/>
        <c:crossBetween val="midCat"/>
      </c:valAx>
      <c:valAx>
        <c:axId val="1323487152"/>
        <c:scaling>
          <c:orientation val="minMax"/>
          <c:max val="2044"/>
          <c:min val="2010"/>
        </c:scaling>
        <c:delete val="1"/>
        <c:axPos val="l"/>
        <c:numFmt formatCode="#,##0" sourceLinked="0"/>
        <c:majorTickMark val="out"/>
        <c:minorTickMark val="none"/>
        <c:tickLblPos val="nextTo"/>
        <c:crossAx val="1323487936"/>
        <c:crosses val="autoZero"/>
        <c:crossBetween val="midCat"/>
      </c:valAx>
      <c:valAx>
        <c:axId val="1323492640"/>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23491856"/>
        <c:crosses val="autoZero"/>
        <c:crossBetween val="between"/>
      </c:valAx>
      <c:catAx>
        <c:axId val="1323491856"/>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1323492640"/>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18137.313311372465</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57052.942994915255</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22579.63025210084</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1672902872"/>
        <c:axId val="1672900520"/>
      </c:barChart>
      <c:catAx>
        <c:axId val="1672902872"/>
        <c:scaling>
          <c:orientation val="minMax"/>
        </c:scaling>
        <c:delete val="1"/>
        <c:axPos val="l"/>
        <c:numFmt formatCode="General" sourceLinked="1"/>
        <c:majorTickMark val="none"/>
        <c:minorTickMark val="none"/>
        <c:tickLblPos val="nextTo"/>
        <c:crossAx val="1672900520"/>
        <c:crosses val="autoZero"/>
        <c:auto val="1"/>
        <c:lblAlgn val="ctr"/>
        <c:lblOffset val="100"/>
        <c:noMultiLvlLbl val="0"/>
      </c:catAx>
      <c:valAx>
        <c:axId val="1672900520"/>
        <c:scaling>
          <c:orientation val="minMax"/>
        </c:scaling>
        <c:delete val="1"/>
        <c:axPos val="b"/>
        <c:numFmt formatCode="#,##0\ &quot;t/a&quot;" sourceLinked="1"/>
        <c:majorTickMark val="none"/>
        <c:minorTickMark val="none"/>
        <c:tickLblPos val="nextTo"/>
        <c:crossAx val="167290287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3" t="s">
        <v>142</v>
      </c>
      <c r="C3" s="194"/>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31</v>
      </c>
      <c r="B4" s="196"/>
      <c r="C4" s="196"/>
      <c r="D4" s="196"/>
      <c r="E4" s="196"/>
      <c r="F4" s="196"/>
      <c r="G4" s="196"/>
      <c r="H4" s="196"/>
      <c r="I4" s="196"/>
      <c r="J4" s="196"/>
      <c r="K4" s="196"/>
      <c r="L4" s="196"/>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3"/>
      <c r="C7" s="203"/>
      <c r="D7" s="203"/>
      <c r="E7" s="203"/>
      <c r="F7" s="203"/>
      <c r="G7" s="203"/>
      <c r="H7" s="203"/>
      <c r="I7" s="203"/>
      <c r="J7" s="203"/>
      <c r="K7" s="203"/>
      <c r="L7" s="22"/>
      <c r="M7" s="6"/>
      <c r="N7" s="6"/>
    </row>
    <row r="8" spans="1:14" ht="69.75" customHeight="1" x14ac:dyDescent="0.2">
      <c r="A8" s="199"/>
      <c r="B8" s="199"/>
      <c r="C8" s="199"/>
      <c r="D8" s="199"/>
      <c r="E8" s="199"/>
      <c r="F8" s="199"/>
      <c r="G8" s="199"/>
      <c r="H8" s="199"/>
      <c r="I8" s="199"/>
      <c r="J8" s="199"/>
      <c r="K8" s="199"/>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0" t="str">
        <f>"Prognostizierte Gesamtstromnachfrage in "&amp;'Basis-Annahmen'!E5&amp;":"</f>
        <v>Prognostizierte Gesamtstromnachfrage in 2035:</v>
      </c>
      <c r="E13" s="200"/>
      <c r="F13" s="200"/>
      <c r="G13" s="200"/>
      <c r="H13" s="200"/>
      <c r="I13" s="201" t="str">
        <f>FIXED(E82,0)&amp;" MWh/a"</f>
        <v>90.687 MWh/a</v>
      </c>
      <c r="J13" s="201"/>
      <c r="K13" s="201"/>
      <c r="L13" s="10"/>
    </row>
    <row r="14" spans="1:14" ht="18" customHeight="1" x14ac:dyDescent="0.2">
      <c r="A14" s="10"/>
      <c r="B14" s="10"/>
      <c r="D14" s="200" t="str">
        <f>"Zunahme der Stromnachfrage von 2018 bis "&amp;'Basis-Annahmen'!E5&amp;":"</f>
        <v>Zunahme der Stromnachfrage von 2018 bis 2035:</v>
      </c>
      <c r="E14" s="200"/>
      <c r="F14" s="200"/>
      <c r="G14" s="200"/>
      <c r="H14" s="200"/>
      <c r="I14" s="201" t="str">
        <f>""&amp;FIXED(E83*100,0)&amp;" %"</f>
        <v>36 %</v>
      </c>
      <c r="J14" s="201"/>
      <c r="K14" s="201"/>
      <c r="L14" s="10"/>
    </row>
    <row r="15" spans="1:14" ht="18" customHeight="1" x14ac:dyDescent="0.2">
      <c r="B15" s="10"/>
      <c r="D15" s="200" t="str">
        <f>"Anteil der Mobilität an der Stromnachfrage in "&amp;'Basis-Annahmen'!E5&amp;":"</f>
        <v>Anteil der Mobilität an der Stromnachfrage in 2035:</v>
      </c>
      <c r="E15" s="200"/>
      <c r="F15" s="200"/>
      <c r="G15" s="200"/>
      <c r="H15" s="200"/>
      <c r="I15" s="202" t="str">
        <f>""&amp;FIXED(E84*100,0,FALSE)&amp;" %"</f>
        <v>17 %</v>
      </c>
      <c r="J15" s="202"/>
      <c r="K15" s="202"/>
      <c r="L15" s="10"/>
    </row>
    <row r="16" spans="1:14" ht="18" customHeight="1" x14ac:dyDescent="0.2">
      <c r="A16" s="10"/>
      <c r="B16" s="10"/>
      <c r="D16" s="200" t="str">
        <f>"Anteil der Wärme an der Stromnachfrage in "&amp;'Basis-Annahmen'!E5&amp;":"</f>
        <v>Anteil der Wärme an der Stromnachfrage in 2035:</v>
      </c>
      <c r="E16" s="200"/>
      <c r="F16" s="200"/>
      <c r="G16" s="200"/>
      <c r="H16" s="200"/>
      <c r="I16" s="202" t="str">
        <f>""&amp;FIXED(E85*100,0,FALSE)&amp;" %"</f>
        <v>0 %</v>
      </c>
      <c r="J16" s="202"/>
      <c r="K16" s="202"/>
      <c r="L16" s="10"/>
    </row>
    <row r="17" spans="1:22" ht="30.75" customHeight="1" x14ac:dyDescent="0.2">
      <c r="A17" s="220"/>
      <c r="B17" s="220"/>
      <c r="C17" s="220"/>
      <c r="D17" s="220"/>
      <c r="E17" s="220"/>
      <c r="F17" s="220"/>
      <c r="G17" s="220"/>
      <c r="H17" s="220"/>
      <c r="I17" s="220"/>
      <c r="J17" s="220"/>
      <c r="K17" s="220"/>
      <c r="L17" s="220"/>
    </row>
    <row r="18" spans="1:22" ht="25.5" customHeight="1" x14ac:dyDescent="0.2">
      <c r="A18" s="198" t="s">
        <v>42</v>
      </c>
      <c r="B18" s="198"/>
      <c r="C18" s="198"/>
      <c r="D18" s="198"/>
      <c r="E18" s="198"/>
      <c r="F18" s="198"/>
      <c r="G18" s="198"/>
      <c r="H18" s="198"/>
      <c r="I18" s="198"/>
      <c r="J18" s="198"/>
      <c r="K18" s="198"/>
      <c r="L18" s="10"/>
    </row>
    <row r="19" spans="1:22" ht="42.75" customHeight="1" x14ac:dyDescent="0.2">
      <c r="B19" s="204" t="s">
        <v>44</v>
      </c>
      <c r="C19" s="204"/>
      <c r="D19" s="204"/>
      <c r="E19" s="204"/>
      <c r="F19" s="204"/>
      <c r="G19" s="204"/>
      <c r="H19" s="204"/>
      <c r="I19" s="204"/>
      <c r="J19" s="204"/>
      <c r="K19" s="204"/>
      <c r="L19" s="12"/>
    </row>
    <row r="20" spans="1:22" ht="60" customHeight="1" x14ac:dyDescent="0.2">
      <c r="B20" s="204" t="s">
        <v>107</v>
      </c>
      <c r="C20" s="204"/>
      <c r="D20" s="204"/>
      <c r="E20" s="204"/>
      <c r="F20" s="204"/>
      <c r="G20" s="204"/>
      <c r="H20" s="204"/>
      <c r="I20" s="204"/>
      <c r="J20" s="204"/>
      <c r="K20" s="204"/>
      <c r="L20" s="12"/>
    </row>
    <row r="21" spans="1:22" ht="31.5" customHeight="1" x14ac:dyDescent="0.2">
      <c r="B21" s="204" t="s">
        <v>43</v>
      </c>
      <c r="C21" s="204"/>
      <c r="D21" s="204"/>
      <c r="E21" s="204"/>
      <c r="F21" s="204"/>
      <c r="G21" s="204"/>
      <c r="H21" s="204"/>
      <c r="I21" s="204"/>
      <c r="J21" s="204"/>
      <c r="K21" s="204"/>
      <c r="L21" s="12"/>
    </row>
    <row r="22" spans="1:22" ht="35.25" customHeight="1" x14ac:dyDescent="0.2">
      <c r="A22" s="198" t="s">
        <v>45</v>
      </c>
      <c r="B22" s="198"/>
      <c r="C22" s="198"/>
      <c r="D22" s="198"/>
      <c r="E22" s="198"/>
      <c r="F22" s="198"/>
      <c r="G22" s="198"/>
      <c r="H22" s="198"/>
      <c r="I22" s="198"/>
      <c r="J22" s="198"/>
      <c r="K22" s="198"/>
    </row>
    <row r="23" spans="1:22" ht="51" customHeight="1" x14ac:dyDescent="0.2">
      <c r="B23" s="204" t="s">
        <v>46</v>
      </c>
      <c r="C23" s="204"/>
      <c r="D23" s="204"/>
      <c r="E23" s="204"/>
      <c r="F23" s="204"/>
      <c r="G23" s="204"/>
      <c r="H23" s="204"/>
      <c r="I23" s="204"/>
      <c r="J23" s="204"/>
      <c r="K23" s="204"/>
      <c r="L23" s="12"/>
      <c r="M23" s="23"/>
      <c r="R23" s="23"/>
      <c r="S23" s="23"/>
      <c r="T23" s="23"/>
      <c r="U23" s="23"/>
      <c r="V23" s="23"/>
    </row>
    <row r="24" spans="1:22" ht="33" customHeight="1" x14ac:dyDescent="0.2">
      <c r="B24" s="216" t="s">
        <v>193</v>
      </c>
      <c r="C24" s="216"/>
      <c r="D24" s="216"/>
      <c r="E24" s="216"/>
      <c r="F24" s="216"/>
      <c r="G24" s="216"/>
      <c r="H24" s="216"/>
      <c r="I24" s="216"/>
      <c r="J24" s="216"/>
      <c r="K24" s="216"/>
      <c r="L24" s="12"/>
    </row>
    <row r="25" spans="1:22" ht="31.5" customHeight="1" x14ac:dyDescent="0.2">
      <c r="A25" s="14"/>
      <c r="B25" s="217" t="str">
        <f>"Ausbauziel erneuerbare Stromerzeugung bis zum Jahr "&amp;'Basis-Annahmen'!E5</f>
        <v>Ausbauziel erneuerbare Stromerzeugung bis zum Jahr 2035</v>
      </c>
      <c r="C25" s="217"/>
      <c r="D25" s="217"/>
      <c r="E25" s="217"/>
      <c r="F25" s="217"/>
      <c r="G25" s="217"/>
      <c r="H25" s="217"/>
      <c r="I25" s="217"/>
      <c r="J25" s="217"/>
      <c r="K25" s="217"/>
    </row>
    <row r="26" spans="1:22" ht="30" customHeight="1" x14ac:dyDescent="0.2">
      <c r="A26" s="14"/>
      <c r="B26" s="218" t="s">
        <v>29</v>
      </c>
      <c r="C26" s="218"/>
      <c r="D26" s="156" t="s">
        <v>18</v>
      </c>
      <c r="E26" s="156" t="s">
        <v>86</v>
      </c>
      <c r="F26" s="215" t="s">
        <v>88</v>
      </c>
      <c r="G26" s="215"/>
      <c r="H26" s="219" t="s">
        <v>89</v>
      </c>
      <c r="I26" s="219"/>
      <c r="J26" s="219" t="s">
        <v>87</v>
      </c>
      <c r="K26" s="219"/>
    </row>
    <row r="27" spans="1:22" ht="27.95" customHeight="1" x14ac:dyDescent="0.2">
      <c r="A27" s="14"/>
      <c r="B27" s="205" t="s">
        <v>0</v>
      </c>
      <c r="C27" s="205"/>
      <c r="D27" s="179"/>
      <c r="E27" s="157" t="s">
        <v>11</v>
      </c>
      <c r="F27" s="211">
        <f>Potenzial!D11*Ausbauziel_Strom!D27</f>
        <v>0</v>
      </c>
      <c r="G27" s="211"/>
      <c r="H27" s="206">
        <f>Potenzial!D9</f>
        <v>18000</v>
      </c>
      <c r="I27" s="206"/>
      <c r="J27" s="207">
        <f>IF(H27&gt;0,F27/H27,0)</f>
        <v>0</v>
      </c>
      <c r="K27" s="207"/>
    </row>
    <row r="28" spans="1:22" ht="27.95" customHeight="1" x14ac:dyDescent="0.2">
      <c r="A28" s="14"/>
      <c r="B28" s="205" t="s">
        <v>125</v>
      </c>
      <c r="C28" s="205"/>
      <c r="D28" s="179"/>
      <c r="E28" s="158" t="s">
        <v>124</v>
      </c>
      <c r="F28" s="211">
        <f>D28*Potenzial!D18</f>
        <v>0</v>
      </c>
      <c r="G28" s="211"/>
      <c r="H28" s="206">
        <f>Potenzial!D14</f>
        <v>34374.483945</v>
      </c>
      <c r="I28" s="206"/>
      <c r="J28" s="207">
        <f t="shared" ref="J28:J29" si="0">IF(H28&gt;0,F28/H28,0)</f>
        <v>0</v>
      </c>
      <c r="K28" s="207"/>
    </row>
    <row r="29" spans="1:22" ht="27.95" customHeight="1" x14ac:dyDescent="0.2">
      <c r="A29" s="14"/>
      <c r="B29" s="208" t="s">
        <v>126</v>
      </c>
      <c r="C29" s="208"/>
      <c r="D29" s="179"/>
      <c r="E29" s="157" t="s">
        <v>10</v>
      </c>
      <c r="F29" s="211">
        <f>D29*Potenzial!D25</f>
        <v>0</v>
      </c>
      <c r="G29" s="211"/>
      <c r="H29" s="206">
        <f>Potenzial!D21</f>
        <v>254160</v>
      </c>
      <c r="I29" s="206"/>
      <c r="J29" s="207">
        <f t="shared" si="0"/>
        <v>0</v>
      </c>
      <c r="K29" s="207"/>
    </row>
    <row r="30" spans="1:22" ht="27.95" customHeight="1" x14ac:dyDescent="0.2">
      <c r="A30" s="14"/>
      <c r="B30" s="208" t="s">
        <v>127</v>
      </c>
      <c r="C30" s="208"/>
      <c r="D30" s="179"/>
      <c r="E30" s="157" t="s">
        <v>10</v>
      </c>
      <c r="F30" s="211">
        <f>D30*Potenzial!D30</f>
        <v>0</v>
      </c>
      <c r="G30" s="211"/>
      <c r="H30" s="206"/>
      <c r="I30" s="206"/>
      <c r="J30" s="207"/>
      <c r="K30" s="207"/>
    </row>
    <row r="31" spans="1:22" ht="27.95" customHeight="1" x14ac:dyDescent="0.2">
      <c r="A31" s="14"/>
      <c r="B31" s="158"/>
      <c r="C31" s="158" t="s">
        <v>128</v>
      </c>
      <c r="D31" s="157"/>
      <c r="E31" s="157"/>
      <c r="F31" s="212"/>
      <c r="G31" s="212"/>
      <c r="H31" s="206"/>
      <c r="I31" s="206"/>
      <c r="J31" s="207"/>
      <c r="K31" s="207"/>
      <c r="L31" s="162"/>
    </row>
    <row r="32" spans="1:22" ht="23.25" customHeight="1" x14ac:dyDescent="0.2">
      <c r="A32" s="14"/>
      <c r="B32" s="209" t="s">
        <v>32</v>
      </c>
      <c r="C32" s="209"/>
      <c r="D32" s="159"/>
      <c r="E32" s="159"/>
      <c r="F32" s="210">
        <f>SUM(F27:F31)</f>
        <v>0</v>
      </c>
      <c r="G32" s="210"/>
      <c r="H32" s="224">
        <f>SUM(H27:H31)</f>
        <v>306534.48394499999</v>
      </c>
      <c r="I32" s="224"/>
      <c r="J32" s="221">
        <f>IF(H32&gt;0,F32/H32,0)</f>
        <v>0</v>
      </c>
      <c r="K32" s="221"/>
      <c r="L32" s="162"/>
    </row>
    <row r="33" spans="2:16" ht="45.75" customHeight="1" x14ac:dyDescent="0.2">
      <c r="B33" s="204"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4"/>
      <c r="D33" s="204"/>
      <c r="E33" s="204"/>
      <c r="F33" s="204"/>
      <c r="G33" s="204"/>
      <c r="H33" s="204"/>
      <c r="I33" s="204"/>
      <c r="J33" s="204"/>
      <c r="K33" s="204"/>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4" t="s">
        <v>175</v>
      </c>
      <c r="C48" s="204"/>
      <c r="D48" s="204"/>
      <c r="E48" s="204"/>
      <c r="F48" s="204"/>
      <c r="G48" s="204"/>
      <c r="H48" s="204"/>
      <c r="I48" s="204"/>
      <c r="J48" s="204"/>
      <c r="K48" s="204"/>
      <c r="L48" s="15"/>
      <c r="M48" s="15"/>
    </row>
    <row r="49" spans="1:13" ht="36.75" customHeight="1" x14ac:dyDescent="0.2">
      <c r="B49" s="204" t="s">
        <v>41</v>
      </c>
      <c r="C49" s="204"/>
      <c r="D49" s="204"/>
      <c r="E49" s="204"/>
      <c r="F49" s="204"/>
      <c r="G49" s="204"/>
      <c r="H49" s="204"/>
      <c r="I49" s="204"/>
      <c r="J49" s="204"/>
      <c r="K49" s="204"/>
      <c r="L49" s="12"/>
      <c r="M49" s="15"/>
    </row>
    <row r="50" spans="1:13" ht="18" x14ac:dyDescent="0.2">
      <c r="A50" s="223" t="s">
        <v>39</v>
      </c>
      <c r="B50" s="223"/>
      <c r="C50" s="223"/>
      <c r="D50" s="223"/>
      <c r="E50" s="223"/>
      <c r="F50" s="223"/>
      <c r="G50" s="223"/>
      <c r="H50" s="223"/>
      <c r="I50" s="223"/>
      <c r="J50" s="223"/>
      <c r="K50" s="223"/>
    </row>
    <row r="51" spans="1:13" ht="27.75" customHeight="1" x14ac:dyDescent="0.2">
      <c r="K51" s="1"/>
    </row>
    <row r="52" spans="1:13" ht="32.25" customHeight="1" x14ac:dyDescent="0.2">
      <c r="A52" s="222" t="s">
        <v>40</v>
      </c>
      <c r="B52" s="222"/>
      <c r="C52" s="222"/>
      <c r="D52" s="222"/>
      <c r="E52" s="222"/>
      <c r="F52" s="222"/>
      <c r="G52" s="222"/>
      <c r="H52" s="222"/>
      <c r="I52" s="222"/>
      <c r="J52" s="222"/>
      <c r="K52" s="222"/>
    </row>
    <row r="53" spans="1:13" ht="77.25" customHeight="1" x14ac:dyDescent="0.2">
      <c r="B53" s="213" t="s">
        <v>190</v>
      </c>
      <c r="C53" s="213"/>
      <c r="D53" s="213"/>
      <c r="E53" s="213"/>
      <c r="F53" s="213"/>
      <c r="G53" s="213"/>
      <c r="H53" s="213"/>
      <c r="I53" s="213"/>
      <c r="J53" s="213"/>
      <c r="K53" s="213"/>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3" t="s">
        <v>177</v>
      </c>
      <c r="C57" s="213"/>
      <c r="D57" s="213"/>
      <c r="E57" s="213"/>
      <c r="F57" s="213"/>
      <c r="G57" s="213"/>
      <c r="H57" s="29"/>
      <c r="I57" s="18" t="s">
        <v>35</v>
      </c>
      <c r="J57" s="17"/>
      <c r="K57" s="17"/>
    </row>
    <row r="58" spans="1:13" ht="18" customHeight="1" x14ac:dyDescent="0.2">
      <c r="B58" s="213" t="s">
        <v>178</v>
      </c>
      <c r="C58" s="213"/>
      <c r="D58" s="213"/>
      <c r="E58" s="213"/>
      <c r="F58" s="213"/>
      <c r="G58" s="213"/>
      <c r="H58" s="29"/>
      <c r="I58" s="18" t="s">
        <v>36</v>
      </c>
      <c r="J58" s="17"/>
      <c r="K58" s="17"/>
    </row>
    <row r="59" spans="1:13" ht="18" customHeight="1" x14ac:dyDescent="0.2">
      <c r="B59" s="213" t="s">
        <v>179</v>
      </c>
      <c r="C59" s="213"/>
      <c r="D59" s="213"/>
      <c r="E59" s="213"/>
      <c r="F59" s="213"/>
      <c r="G59" s="213"/>
      <c r="H59" s="29"/>
      <c r="I59" s="18" t="s">
        <v>37</v>
      </c>
      <c r="J59" s="17"/>
      <c r="K59" s="17"/>
    </row>
    <row r="60" spans="1:13" ht="18" customHeight="1" x14ac:dyDescent="0.2">
      <c r="B60" s="213" t="s">
        <v>180</v>
      </c>
      <c r="C60" s="213"/>
      <c r="D60" s="213"/>
      <c r="E60" s="213"/>
      <c r="F60" s="213"/>
      <c r="G60" s="213"/>
      <c r="H60" s="30"/>
      <c r="I60" s="31" t="s">
        <v>38</v>
      </c>
      <c r="J60" s="19"/>
      <c r="K60" s="19"/>
    </row>
    <row r="61" spans="1:13" ht="18" customHeight="1" x14ac:dyDescent="0.2">
      <c r="B61" s="213" t="s">
        <v>181</v>
      </c>
      <c r="C61" s="213"/>
      <c r="D61" s="213"/>
      <c r="E61" s="213"/>
      <c r="F61" s="213"/>
      <c r="G61" s="213"/>
      <c r="H61" s="30"/>
      <c r="J61" s="19"/>
      <c r="K61" s="19"/>
    </row>
    <row r="62" spans="1:13" ht="18" customHeight="1" x14ac:dyDescent="0.2">
      <c r="B62" s="213" t="s">
        <v>182</v>
      </c>
      <c r="C62" s="213"/>
      <c r="D62" s="213"/>
      <c r="E62" s="213"/>
      <c r="F62" s="213"/>
      <c r="G62" s="213"/>
      <c r="H62" s="30"/>
      <c r="I62" s="20"/>
      <c r="J62" s="19"/>
      <c r="K62" s="19"/>
    </row>
    <row r="63" spans="1:13" ht="18" customHeight="1" x14ac:dyDescent="0.2">
      <c r="B63" s="213" t="s">
        <v>183</v>
      </c>
      <c r="C63" s="213"/>
      <c r="D63" s="213"/>
      <c r="E63" s="213"/>
      <c r="F63" s="213"/>
      <c r="G63" s="213"/>
      <c r="H63" s="30"/>
      <c r="I63" s="17"/>
      <c r="J63" s="19"/>
      <c r="K63" s="19"/>
    </row>
    <row r="64" spans="1:13" ht="18" customHeight="1" x14ac:dyDescent="0.2">
      <c r="B64" s="213" t="s">
        <v>184</v>
      </c>
      <c r="C64" s="213"/>
      <c r="D64" s="213"/>
      <c r="E64" s="213"/>
      <c r="F64" s="213"/>
      <c r="G64" s="213"/>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12527.4</v>
      </c>
      <c r="E76" s="184">
        <f>LOOKUP('Basis-Annahmen'!E5,'Nachfrage &amp; Erzeugung'!D9:G9,'Nachfrage &amp; Erzeugung'!D11:G11)</f>
        <v>10421.731292324099</v>
      </c>
      <c r="F76" s="175"/>
      <c r="G76" s="175"/>
      <c r="H76" s="175"/>
      <c r="I76" s="175"/>
      <c r="J76" s="154"/>
      <c r="K76" s="172"/>
      <c r="L76" s="172"/>
    </row>
    <row r="77" spans="1:12" x14ac:dyDescent="0.2">
      <c r="A77" s="154"/>
      <c r="B77" s="154"/>
      <c r="C77" s="176" t="str">
        <f>'Nachfrage &amp; Erzeugung'!B12</f>
        <v>GHD / Industrie</v>
      </c>
      <c r="D77" s="184">
        <f>'Nachfrage &amp; Erzeugung'!C12</f>
        <v>48715.68</v>
      </c>
      <c r="E77" s="184">
        <f>LOOKUP('Basis-Annahmen'!E5,'Nachfrage &amp; Erzeugung'!D9:G9,'Nachfrage &amp; Erzeugung'!D12:G12)</f>
        <v>63795.23236064479</v>
      </c>
      <c r="F77" s="175"/>
      <c r="G77" s="176" t="s">
        <v>103</v>
      </c>
      <c r="H77" s="184">
        <f>'Nachfrage &amp; Erzeugung'!C21</f>
        <v>4495</v>
      </c>
      <c r="I77" s="184">
        <f>F31</f>
        <v>0</v>
      </c>
      <c r="J77" s="154"/>
      <c r="K77" s="172"/>
      <c r="L77" s="172"/>
    </row>
    <row r="78" spans="1:12" x14ac:dyDescent="0.2">
      <c r="A78" s="154"/>
      <c r="B78" s="154"/>
      <c r="C78" s="176" t="str">
        <f>'Nachfrage &amp; Erzeugung'!B13</f>
        <v>Kommunale Einrichtungen</v>
      </c>
      <c r="D78" s="184">
        <f>'Nachfrage &amp; Erzeugung'!C13</f>
        <v>1849.14</v>
      </c>
      <c r="E78" s="184">
        <f>LOOKUP('Basis-Annahmen'!E5,'Nachfrage &amp; Erzeugung'!D9:G9,'Nachfrage &amp; Erzeugung'!D13:G13)</f>
        <v>1284.5003828850467</v>
      </c>
      <c r="F78" s="175"/>
      <c r="G78" s="176" t="str">
        <f>'Nachfrage &amp; Erzeugung'!B29</f>
        <v>Nicht aus lokalen EE gedeckter Strombedarf</v>
      </c>
      <c r="H78" s="184">
        <f>'Nachfrage &amp; Erzeugung'!C29</f>
        <v>62348.33</v>
      </c>
      <c r="I78" s="184">
        <f>MAX(0,E82-SUM(I79:I82)-I77)</f>
        <v>90686.566556862337</v>
      </c>
      <c r="J78" s="154"/>
      <c r="K78" s="172"/>
      <c r="L78" s="172"/>
    </row>
    <row r="79" spans="1:12" x14ac:dyDescent="0.2">
      <c r="A79" s="154"/>
      <c r="B79" s="154"/>
      <c r="C79" s="176" t="str">
        <f>'Nachfrage &amp; Erzeugung'!B14</f>
        <v>Mobilität</v>
      </c>
      <c r="D79" s="184"/>
      <c r="E79" s="184">
        <f>LOOKUP('Basis-Annahmen'!E5,'Nachfrage &amp; Erzeugung'!D9:G9,'Nachfrage &amp; Erzeugung'!D14:G14)</f>
        <v>15185.102521008403</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66843.33</v>
      </c>
      <c r="E82" s="184">
        <f>LOOKUP('Basis-Annahmen'!E5,'Nachfrage &amp; Erzeugung'!D9:G9,'Nachfrage &amp; Erzeugung'!D10:G10)</f>
        <v>90686.566556862337</v>
      </c>
      <c r="F82" s="175"/>
      <c r="G82" s="176" t="s">
        <v>24</v>
      </c>
      <c r="H82" s="184">
        <v>0</v>
      </c>
      <c r="I82" s="184">
        <f>F30</f>
        <v>0</v>
      </c>
      <c r="J82" s="154"/>
      <c r="K82" s="172"/>
      <c r="L82" s="172"/>
    </row>
    <row r="83" spans="1:12" x14ac:dyDescent="0.2">
      <c r="A83" s="154"/>
      <c r="B83" s="154"/>
      <c r="C83" s="176" t="s">
        <v>100</v>
      </c>
      <c r="D83" s="175"/>
      <c r="E83" s="186">
        <f>(E82-D82)/D82</f>
        <v>0.35670330243664305</v>
      </c>
      <c r="F83" s="175"/>
      <c r="G83" s="176"/>
      <c r="H83" s="184"/>
      <c r="I83" s="184"/>
      <c r="J83" s="154"/>
      <c r="K83" s="172"/>
      <c r="L83" s="172"/>
    </row>
    <row r="84" spans="1:12" x14ac:dyDescent="0.2">
      <c r="A84" s="154"/>
      <c r="B84" s="154"/>
      <c r="C84" s="176" t="s">
        <v>101</v>
      </c>
      <c r="D84" s="175"/>
      <c r="E84" s="186">
        <f>E79/E82</f>
        <v>0.16744599666243878</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115" zoomScaleNormal="100" zoomScalePageLayoutView="115" workbookViewId="0">
      <selection activeCell="B57" sqref="B57:K57"/>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5" t="s">
        <v>191</v>
      </c>
      <c r="B1" s="195"/>
      <c r="C1" s="195"/>
      <c r="D1" s="195"/>
      <c r="E1" s="195"/>
      <c r="F1" s="195"/>
      <c r="G1" s="195"/>
      <c r="H1" s="195"/>
      <c r="I1" s="195"/>
      <c r="J1" s="195"/>
      <c r="K1" s="195"/>
      <c r="L1" s="195"/>
    </row>
    <row r="2" spans="1:12" ht="16.5" customHeight="1" x14ac:dyDescent="0.2">
      <c r="A2" s="197" t="s">
        <v>192</v>
      </c>
      <c r="B2" s="197"/>
      <c r="C2" s="197"/>
      <c r="D2" s="197"/>
      <c r="E2" s="197"/>
      <c r="F2" s="197"/>
      <c r="G2" s="197"/>
      <c r="H2" s="197"/>
      <c r="I2" s="197"/>
      <c r="J2" s="197"/>
      <c r="K2" s="197"/>
      <c r="L2" s="197"/>
    </row>
    <row r="3" spans="1:12" ht="8.25" customHeight="1" x14ac:dyDescent="0.2">
      <c r="A3" s="214"/>
      <c r="B3" s="214"/>
      <c r="C3" s="214"/>
      <c r="D3" s="214"/>
      <c r="E3" s="214"/>
      <c r="F3" s="214"/>
      <c r="G3" s="214"/>
      <c r="H3" s="214"/>
      <c r="I3" s="214"/>
      <c r="J3" s="214"/>
      <c r="K3" s="214"/>
      <c r="L3" s="214"/>
    </row>
    <row r="4" spans="1:12" ht="24" customHeight="1" x14ac:dyDescent="0.2">
      <c r="A4" s="196" t="s">
        <v>47</v>
      </c>
      <c r="B4" s="196"/>
      <c r="C4" s="196"/>
      <c r="D4" s="196"/>
      <c r="E4" s="196"/>
      <c r="F4" s="196"/>
      <c r="G4" s="196"/>
      <c r="H4" s="196"/>
      <c r="I4" s="196"/>
      <c r="J4" s="196"/>
      <c r="K4" s="196"/>
      <c r="L4" s="196"/>
    </row>
    <row r="5" spans="1:12" ht="24" customHeight="1" x14ac:dyDescent="0.35">
      <c r="A5" s="22"/>
      <c r="F5" s="247"/>
      <c r="G5" s="247"/>
      <c r="H5" s="247"/>
      <c r="K5" s="1"/>
      <c r="L5" s="22"/>
    </row>
    <row r="6" spans="1:12" ht="24" customHeight="1" x14ac:dyDescent="0.2">
      <c r="A6" s="22"/>
      <c r="B6" s="237"/>
      <c r="C6" s="237"/>
      <c r="D6" s="237"/>
      <c r="E6" s="237"/>
      <c r="F6" s="237"/>
      <c r="G6" s="237"/>
      <c r="H6" s="237"/>
      <c r="I6" s="237"/>
      <c r="J6" s="237"/>
      <c r="K6" s="237"/>
      <c r="L6" s="22"/>
    </row>
    <row r="7" spans="1:12" ht="24" customHeight="1" x14ac:dyDescent="0.2">
      <c r="A7" s="22"/>
      <c r="B7" s="237"/>
      <c r="C7" s="237"/>
      <c r="D7" s="237"/>
      <c r="E7" s="237"/>
      <c r="F7" s="237"/>
      <c r="G7" s="237"/>
      <c r="H7" s="237"/>
      <c r="I7" s="237"/>
      <c r="J7" s="237"/>
      <c r="K7" s="237"/>
      <c r="L7" s="22"/>
    </row>
    <row r="8" spans="1:12" ht="69.75" customHeight="1" x14ac:dyDescent="0.2">
      <c r="A8" s="199"/>
      <c r="B8" s="199"/>
      <c r="C8" s="199"/>
      <c r="D8" s="199"/>
      <c r="E8" s="199"/>
      <c r="F8" s="199"/>
      <c r="G8" s="199"/>
      <c r="H8" s="199"/>
      <c r="I8" s="199"/>
      <c r="J8" s="199"/>
      <c r="K8" s="199"/>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8"/>
      <c r="C12" s="238"/>
      <c r="D12" s="238"/>
      <c r="E12" s="238"/>
      <c r="F12" s="238"/>
      <c r="G12" s="238"/>
      <c r="H12" s="238"/>
      <c r="I12" s="238"/>
      <c r="J12" s="238"/>
      <c r="K12" s="238"/>
      <c r="L12" s="10"/>
    </row>
    <row r="13" spans="1:12" ht="18" customHeight="1" x14ac:dyDescent="0.2">
      <c r="A13" s="10"/>
      <c r="B13" s="10"/>
      <c r="D13" s="200" t="str">
        <f>"Prognostizierte Wärmenachfrage für das Jahr "&amp;'Basis-Annahmen'!E5&amp;":"</f>
        <v>Prognostizierte Wärmenachfrage für das Jahr 2035:</v>
      </c>
      <c r="E13" s="200"/>
      <c r="F13" s="200"/>
      <c r="G13" s="200"/>
      <c r="H13" s="200"/>
      <c r="I13" s="201" t="str">
        <f>""&amp;FIXED(E82,0,FALSE)&amp;" MWh/a"</f>
        <v>237.721 MWh/a</v>
      </c>
      <c r="J13" s="201"/>
      <c r="K13" s="201"/>
      <c r="L13" s="10"/>
    </row>
    <row r="14" spans="1:12" ht="18" customHeight="1" x14ac:dyDescent="0.2">
      <c r="A14" s="10"/>
      <c r="B14" s="10"/>
      <c r="D14" s="200" t="s">
        <v>185</v>
      </c>
      <c r="E14" s="200"/>
      <c r="F14" s="200"/>
      <c r="G14" s="200"/>
      <c r="H14" s="200"/>
      <c r="I14" s="201" t="str">
        <f>""&amp;FIXED(D82,0,FALSE)&amp;" MWh/a"</f>
        <v>173.258 MWh/a</v>
      </c>
      <c r="J14" s="201"/>
      <c r="K14" s="201"/>
      <c r="L14" s="10"/>
    </row>
    <row r="15" spans="1:12" ht="18" customHeight="1" x14ac:dyDescent="0.2">
      <c r="B15" s="10"/>
      <c r="D15" s="200" t="str">
        <f>"Zunahme der Wärmenachfrage bis "&amp;'Basis-Annahmen'!E5&amp;":"</f>
        <v>Zunahme der Wärmenachfrage bis 2035:</v>
      </c>
      <c r="E15" s="200"/>
      <c r="F15" s="200"/>
      <c r="G15" s="200"/>
      <c r="H15" s="200"/>
      <c r="I15" s="202" t="str">
        <f>""&amp;FIXED(E84*100,0,TRUE)&amp;" %"</f>
        <v>37 %</v>
      </c>
      <c r="J15" s="202"/>
      <c r="K15" s="202"/>
      <c r="L15" s="10"/>
    </row>
    <row r="16" spans="1:12" ht="30.75" customHeight="1" x14ac:dyDescent="0.2">
      <c r="A16" s="10"/>
      <c r="B16" s="238"/>
      <c r="C16" s="238"/>
      <c r="D16" s="238"/>
      <c r="E16" s="238"/>
      <c r="F16" s="238"/>
      <c r="G16" s="238"/>
      <c r="H16" s="238"/>
      <c r="I16" s="238"/>
      <c r="J16" s="238"/>
      <c r="K16" s="238"/>
      <c r="L16" s="10"/>
    </row>
    <row r="17" spans="1:12" ht="25.5" customHeight="1" x14ac:dyDescent="0.2">
      <c r="A17" s="198" t="s">
        <v>42</v>
      </c>
      <c r="B17" s="198"/>
      <c r="C17" s="198"/>
      <c r="D17" s="198"/>
      <c r="E17" s="198"/>
      <c r="F17" s="198"/>
      <c r="G17" s="198"/>
      <c r="H17" s="198"/>
      <c r="I17" s="198"/>
      <c r="J17" s="198"/>
      <c r="K17" s="198"/>
      <c r="L17" s="10"/>
    </row>
    <row r="18" spans="1:12" ht="42.75" customHeight="1" x14ac:dyDescent="0.2">
      <c r="B18" s="237"/>
      <c r="C18" s="237"/>
      <c r="D18" s="237"/>
      <c r="E18" s="237"/>
      <c r="F18" s="237"/>
      <c r="G18" s="237"/>
      <c r="H18" s="237"/>
      <c r="I18" s="237"/>
      <c r="J18" s="237"/>
      <c r="K18" s="237"/>
      <c r="L18" s="12"/>
    </row>
    <row r="19" spans="1:12" ht="31.5" customHeight="1" x14ac:dyDescent="0.2">
      <c r="B19" s="204" t="s">
        <v>43</v>
      </c>
      <c r="C19" s="204"/>
      <c r="D19" s="204"/>
      <c r="E19" s="204"/>
      <c r="F19" s="204"/>
      <c r="G19" s="204"/>
      <c r="H19" s="204"/>
      <c r="I19" s="204"/>
      <c r="J19" s="204"/>
      <c r="K19" s="204"/>
      <c r="L19" s="12"/>
    </row>
    <row r="20" spans="1:12" ht="24.75" customHeight="1" x14ac:dyDescent="0.2">
      <c r="B20" s="204" t="s">
        <v>193</v>
      </c>
      <c r="C20" s="204"/>
      <c r="D20" s="204"/>
      <c r="E20" s="204"/>
      <c r="F20" s="204"/>
      <c r="G20" s="204"/>
      <c r="H20" s="204"/>
      <c r="I20" s="204"/>
      <c r="J20" s="204"/>
      <c r="K20" s="204"/>
      <c r="L20" s="12"/>
    </row>
    <row r="21" spans="1:12" ht="23.25" customHeight="1" x14ac:dyDescent="0.2">
      <c r="B21" s="239"/>
      <c r="C21" s="239"/>
      <c r="D21" s="239"/>
      <c r="E21" s="239"/>
      <c r="F21" s="160">
        <v>2025</v>
      </c>
      <c r="G21" s="160">
        <v>2030</v>
      </c>
      <c r="H21" s="160">
        <v>2035</v>
      </c>
      <c r="I21" s="243">
        <v>2040</v>
      </c>
      <c r="J21" s="244"/>
      <c r="K21" s="11"/>
      <c r="L21" s="12"/>
    </row>
    <row r="22" spans="1:12" ht="49.5" customHeight="1" x14ac:dyDescent="0.2">
      <c r="B22" s="242" t="s">
        <v>187</v>
      </c>
      <c r="C22" s="242"/>
      <c r="D22" s="242"/>
      <c r="E22" s="242"/>
      <c r="F22" s="161">
        <v>0.01</v>
      </c>
      <c r="G22" s="161">
        <v>0.01</v>
      </c>
      <c r="H22" s="161">
        <v>0.01</v>
      </c>
      <c r="I22" s="245">
        <v>0.01</v>
      </c>
      <c r="J22" s="246"/>
      <c r="K22" s="155"/>
      <c r="L22" s="12"/>
    </row>
    <row r="23" spans="1:12" ht="31.5" customHeight="1" x14ac:dyDescent="0.2">
      <c r="B23" s="11"/>
      <c r="C23" s="11"/>
      <c r="D23" s="11"/>
      <c r="E23" s="11"/>
      <c r="F23" s="11"/>
      <c r="G23" s="11"/>
      <c r="H23" s="11"/>
      <c r="I23" s="11"/>
      <c r="J23" s="11"/>
      <c r="K23" s="11"/>
      <c r="L23" s="12"/>
    </row>
    <row r="24" spans="1:12" ht="27" customHeight="1" x14ac:dyDescent="0.2">
      <c r="A24" s="198" t="s">
        <v>45</v>
      </c>
      <c r="B24" s="198"/>
      <c r="C24" s="198"/>
      <c r="D24" s="198"/>
      <c r="E24" s="198"/>
      <c r="F24" s="198"/>
      <c r="G24" s="198"/>
      <c r="H24" s="198"/>
      <c r="I24" s="198"/>
      <c r="J24" s="198"/>
      <c r="K24" s="198"/>
    </row>
    <row r="25" spans="1:12" ht="5.25" customHeight="1" x14ac:dyDescent="0.2">
      <c r="A25" s="13"/>
      <c r="B25" s="241"/>
      <c r="C25" s="241"/>
      <c r="D25" s="241"/>
      <c r="E25" s="241"/>
      <c r="F25" s="241"/>
      <c r="G25" s="241"/>
      <c r="H25" s="241"/>
      <c r="I25" s="241"/>
      <c r="J25" s="241"/>
      <c r="K25" s="241"/>
    </row>
    <row r="26" spans="1:12" ht="65.25" customHeight="1" x14ac:dyDescent="0.2">
      <c r="B26" s="204" t="s">
        <v>84</v>
      </c>
      <c r="C26" s="204"/>
      <c r="D26" s="204"/>
      <c r="E26" s="204"/>
      <c r="F26" s="204"/>
      <c r="G26" s="204"/>
      <c r="H26" s="204"/>
      <c r="I26" s="204"/>
      <c r="J26" s="204"/>
      <c r="K26" s="204"/>
      <c r="L26" s="12"/>
    </row>
    <row r="27" spans="1:12" ht="17.25" customHeight="1" x14ac:dyDescent="0.2">
      <c r="B27" s="216" t="s">
        <v>193</v>
      </c>
      <c r="C27" s="216"/>
      <c r="D27" s="216"/>
      <c r="E27" s="216"/>
      <c r="F27" s="216"/>
      <c r="G27" s="216"/>
      <c r="H27" s="216"/>
      <c r="I27" s="216"/>
      <c r="J27" s="216"/>
      <c r="K27" s="216"/>
      <c r="L27" s="12"/>
    </row>
    <row r="28" spans="1:12" ht="25.5" customHeight="1" x14ac:dyDescent="0.2">
      <c r="A28" s="14"/>
      <c r="B28" s="217" t="str">
        <f>"Ausbauziel Wärmeerzeugung bis zum Jahr "&amp;'Basis-Annahmen'!E5</f>
        <v>Ausbauziel Wärmeerzeugung bis zum Jahr 2035</v>
      </c>
      <c r="C28" s="217"/>
      <c r="D28" s="217"/>
      <c r="E28" s="217"/>
      <c r="F28" s="217"/>
      <c r="G28" s="217"/>
      <c r="H28" s="217"/>
      <c r="I28" s="217"/>
      <c r="J28" s="217"/>
      <c r="K28" s="217"/>
    </row>
    <row r="29" spans="1:12" ht="34.5" customHeight="1" x14ac:dyDescent="0.2">
      <c r="A29" s="14"/>
      <c r="B29" s="226" t="s">
        <v>29</v>
      </c>
      <c r="C29" s="226"/>
      <c r="D29" s="226"/>
      <c r="E29" s="226"/>
      <c r="F29" s="240" t="s">
        <v>79</v>
      </c>
      <c r="G29" s="240"/>
      <c r="H29" s="225" t="s">
        <v>80</v>
      </c>
      <c r="I29" s="225"/>
      <c r="J29" s="240" t="s">
        <v>85</v>
      </c>
      <c r="K29" s="240"/>
    </row>
    <row r="30" spans="1:12" ht="21.6" customHeight="1" x14ac:dyDescent="0.2">
      <c r="A30" s="14"/>
      <c r="B30" s="209" t="s">
        <v>77</v>
      </c>
      <c r="C30" s="209"/>
      <c r="D30" s="209"/>
      <c r="E30" s="209"/>
      <c r="F30" s="230">
        <v>0</v>
      </c>
      <c r="G30" s="230"/>
      <c r="H30" s="232" t="s">
        <v>147</v>
      </c>
      <c r="I30" s="232"/>
      <c r="J30" s="231">
        <f>F30*E82</f>
        <v>0</v>
      </c>
      <c r="K30" s="231"/>
    </row>
    <row r="31" spans="1:12" ht="21.6" customHeight="1" x14ac:dyDescent="0.2">
      <c r="A31" s="14"/>
      <c r="B31" s="227" t="s">
        <v>156</v>
      </c>
      <c r="C31" s="228"/>
      <c r="D31" s="228"/>
      <c r="E31" s="228"/>
      <c r="F31" s="228"/>
      <c r="G31" s="229"/>
      <c r="H31" s="233">
        <v>0</v>
      </c>
      <c r="I31" s="233"/>
      <c r="J31" s="234">
        <f>J30*H31</f>
        <v>0</v>
      </c>
      <c r="K31" s="234"/>
    </row>
    <row r="32" spans="1:12" ht="21.6" customHeight="1" x14ac:dyDescent="0.2">
      <c r="A32" s="14"/>
      <c r="B32" s="209" t="s">
        <v>78</v>
      </c>
      <c r="C32" s="209"/>
      <c r="D32" s="209"/>
      <c r="E32" s="209"/>
      <c r="F32" s="235">
        <f>100%-F30</f>
        <v>1</v>
      </c>
      <c r="G32" s="235"/>
      <c r="H32" s="236"/>
      <c r="I32" s="236"/>
      <c r="J32" s="231">
        <f>F32*E82</f>
        <v>237720.5958121469</v>
      </c>
      <c r="K32" s="231"/>
    </row>
    <row r="33" spans="1:12" ht="21.6" customHeight="1" x14ac:dyDescent="0.2">
      <c r="A33" s="14"/>
      <c r="B33" s="227" t="s">
        <v>154</v>
      </c>
      <c r="C33" s="228"/>
      <c r="D33" s="228"/>
      <c r="E33" s="228"/>
      <c r="F33" s="228"/>
      <c r="G33" s="229"/>
      <c r="H33" s="233">
        <v>0</v>
      </c>
      <c r="I33" s="233"/>
      <c r="J33" s="234">
        <f>$J$32*H33</f>
        <v>0</v>
      </c>
      <c r="K33" s="234"/>
    </row>
    <row r="34" spans="1:12" ht="21.6" customHeight="1" x14ac:dyDescent="0.2">
      <c r="A34" s="14"/>
      <c r="B34" s="250" t="s">
        <v>155</v>
      </c>
      <c r="C34" s="251"/>
      <c r="D34" s="251"/>
      <c r="E34" s="251"/>
      <c r="F34" s="251"/>
      <c r="G34" s="252"/>
      <c r="H34" s="233">
        <v>0</v>
      </c>
      <c r="I34" s="233"/>
      <c r="J34" s="234">
        <f>$J$32*H34</f>
        <v>0</v>
      </c>
      <c r="K34" s="234"/>
    </row>
    <row r="35" spans="1:12" ht="21.6" customHeight="1" x14ac:dyDescent="0.2">
      <c r="A35" s="14"/>
      <c r="B35" s="250" t="s">
        <v>157</v>
      </c>
      <c r="C35" s="251"/>
      <c r="D35" s="251"/>
      <c r="E35" s="251"/>
      <c r="F35" s="251"/>
      <c r="G35" s="252"/>
      <c r="H35" s="233">
        <v>0</v>
      </c>
      <c r="I35" s="233"/>
      <c r="J35" s="234">
        <f t="shared" ref="J35" si="0">$J$32*H35</f>
        <v>0</v>
      </c>
      <c r="K35" s="234"/>
    </row>
    <row r="36" spans="1:12" ht="21" customHeight="1" x14ac:dyDescent="0.2">
      <c r="A36" s="14"/>
      <c r="B36" s="250" t="s">
        <v>158</v>
      </c>
      <c r="C36" s="251"/>
      <c r="D36" s="251"/>
      <c r="E36" s="251"/>
      <c r="F36" s="251"/>
      <c r="G36" s="252"/>
      <c r="H36" s="233">
        <v>0</v>
      </c>
      <c r="I36" s="233"/>
      <c r="J36" s="234">
        <f t="shared" ref="J36" si="1">$J$32*H36</f>
        <v>0</v>
      </c>
      <c r="K36" s="234"/>
    </row>
    <row r="37" spans="1:12" ht="21.6" customHeight="1" x14ac:dyDescent="0.2">
      <c r="A37" s="14"/>
      <c r="B37" s="250" t="s">
        <v>174</v>
      </c>
      <c r="C37" s="251"/>
      <c r="D37" s="251"/>
      <c r="E37" s="251"/>
      <c r="F37" s="251"/>
      <c r="G37" s="252"/>
      <c r="H37" s="255">
        <f>100%-(H33+H34+H35+H36)</f>
        <v>1</v>
      </c>
      <c r="I37" s="256"/>
      <c r="J37" s="257">
        <f>$J$32*H37</f>
        <v>237720.5958121469</v>
      </c>
      <c r="K37" s="258"/>
    </row>
    <row r="38" spans="1:12" ht="44.25" customHeight="1" x14ac:dyDescent="0.2">
      <c r="B38" s="204"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4"/>
      <c r="D38" s="204"/>
      <c r="E38" s="204"/>
      <c r="F38" s="204"/>
      <c r="G38" s="204"/>
      <c r="H38" s="204"/>
      <c r="I38" s="204"/>
      <c r="J38" s="204"/>
      <c r="K38" s="204"/>
    </row>
    <row r="39" spans="1:12" s="14" customFormat="1" ht="24" customHeight="1" x14ac:dyDescent="0.2">
      <c r="B39" s="254" t="s">
        <v>82</v>
      </c>
      <c r="C39" s="254"/>
      <c r="D39" s="254"/>
      <c r="E39" s="254"/>
      <c r="F39" s="254"/>
      <c r="G39" s="253" t="s">
        <v>81</v>
      </c>
      <c r="H39" s="253"/>
      <c r="I39" s="253" t="s">
        <v>75</v>
      </c>
      <c r="J39" s="253"/>
      <c r="K39" s="253"/>
    </row>
    <row r="40" spans="1:12" s="14" customFormat="1" ht="21" customHeight="1" x14ac:dyDescent="0.2">
      <c r="B40" s="249" t="s">
        <v>56</v>
      </c>
      <c r="C40" s="249"/>
      <c r="D40" s="249"/>
      <c r="E40" s="249"/>
      <c r="F40" s="249"/>
      <c r="G40" s="248">
        <f>F30*H31+F32*SUM(H33:I36)</f>
        <v>0</v>
      </c>
      <c r="H40" s="248"/>
      <c r="I40" s="234">
        <f>G40*E82</f>
        <v>0</v>
      </c>
      <c r="J40" s="234"/>
      <c r="K40" s="234"/>
    </row>
    <row r="41" spans="1:12" s="14" customFormat="1" ht="21" customHeight="1" x14ac:dyDescent="0.2">
      <c r="B41" s="249" t="s">
        <v>76</v>
      </c>
      <c r="C41" s="249"/>
      <c r="D41" s="249"/>
      <c r="E41" s="249"/>
      <c r="F41" s="249"/>
      <c r="G41" s="248">
        <f>1-G40</f>
        <v>1</v>
      </c>
      <c r="H41" s="248"/>
      <c r="I41" s="234">
        <f>G41*E82</f>
        <v>237720.5958121469</v>
      </c>
      <c r="J41" s="234"/>
      <c r="K41" s="234"/>
    </row>
    <row r="42" spans="1:12" x14ac:dyDescent="0.2">
      <c r="L42" s="15"/>
    </row>
    <row r="43" spans="1:12" ht="45.75" customHeight="1" x14ac:dyDescent="0.2">
      <c r="L43" s="15"/>
    </row>
    <row r="52" spans="1:12" ht="46.5" customHeight="1" x14ac:dyDescent="0.2">
      <c r="B52" s="204" t="s">
        <v>176</v>
      </c>
      <c r="C52" s="204"/>
      <c r="D52" s="204"/>
      <c r="E52" s="204"/>
      <c r="F52" s="204"/>
      <c r="G52" s="204"/>
      <c r="H52" s="204"/>
      <c r="I52" s="204"/>
      <c r="J52" s="204"/>
      <c r="K52" s="204"/>
    </row>
    <row r="53" spans="1:12" ht="42" customHeight="1" x14ac:dyDescent="0.2">
      <c r="B53" s="204" t="s">
        <v>41</v>
      </c>
      <c r="C53" s="204"/>
      <c r="D53" s="204"/>
      <c r="E53" s="204"/>
      <c r="F53" s="204"/>
      <c r="G53" s="204"/>
      <c r="H53" s="204"/>
      <c r="I53" s="204"/>
      <c r="J53" s="204"/>
      <c r="K53" s="204"/>
    </row>
    <row r="54" spans="1:12" ht="18" x14ac:dyDescent="0.2">
      <c r="A54" s="223" t="s">
        <v>39</v>
      </c>
      <c r="B54" s="223"/>
      <c r="C54" s="223"/>
      <c r="D54" s="223"/>
      <c r="E54" s="223"/>
      <c r="F54" s="223"/>
      <c r="G54" s="223"/>
      <c r="H54" s="223"/>
      <c r="I54" s="223"/>
      <c r="J54" s="223"/>
      <c r="K54" s="223"/>
    </row>
    <row r="55" spans="1:12" x14ac:dyDescent="0.2">
      <c r="K55" s="1"/>
    </row>
    <row r="56" spans="1:12" ht="49.5" customHeight="1" x14ac:dyDescent="0.2">
      <c r="A56" s="222" t="s">
        <v>40</v>
      </c>
      <c r="B56" s="222"/>
      <c r="C56" s="222"/>
      <c r="D56" s="222"/>
      <c r="E56" s="222"/>
      <c r="F56" s="222"/>
      <c r="G56" s="222"/>
      <c r="H56" s="222"/>
      <c r="I56" s="222"/>
      <c r="J56" s="222"/>
      <c r="K56" s="222"/>
    </row>
    <row r="57" spans="1:12" ht="80.25" customHeight="1" x14ac:dyDescent="0.2">
      <c r="B57" s="213" t="s">
        <v>189</v>
      </c>
      <c r="C57" s="213"/>
      <c r="D57" s="213"/>
      <c r="E57" s="213"/>
      <c r="F57" s="213"/>
      <c r="G57" s="213"/>
      <c r="H57" s="213"/>
      <c r="I57" s="213"/>
      <c r="J57" s="213"/>
      <c r="K57" s="213"/>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3" t="s">
        <v>177</v>
      </c>
      <c r="C60" s="213"/>
      <c r="D60" s="213"/>
      <c r="E60" s="213"/>
      <c r="F60" s="213"/>
      <c r="G60" s="213"/>
      <c r="H60" s="29"/>
      <c r="I60" s="18" t="s">
        <v>35</v>
      </c>
      <c r="J60" s="17"/>
      <c r="K60" s="17"/>
    </row>
    <row r="61" spans="1:12" ht="17.100000000000001" customHeight="1" x14ac:dyDescent="0.2">
      <c r="B61" s="213" t="s">
        <v>178</v>
      </c>
      <c r="C61" s="213"/>
      <c r="D61" s="213"/>
      <c r="E61" s="213"/>
      <c r="F61" s="213"/>
      <c r="G61" s="213"/>
      <c r="H61" s="29"/>
      <c r="I61" s="18" t="s">
        <v>36</v>
      </c>
      <c r="J61" s="17"/>
      <c r="K61" s="17"/>
    </row>
    <row r="62" spans="1:12" ht="17.100000000000001" customHeight="1" x14ac:dyDescent="0.2">
      <c r="B62" s="213" t="s">
        <v>179</v>
      </c>
      <c r="C62" s="213"/>
      <c r="D62" s="213"/>
      <c r="E62" s="213"/>
      <c r="F62" s="213"/>
      <c r="G62" s="213"/>
      <c r="H62" s="29"/>
      <c r="I62" s="18" t="s">
        <v>37</v>
      </c>
      <c r="J62" s="17"/>
      <c r="K62" s="17"/>
    </row>
    <row r="63" spans="1:12" ht="17.100000000000001" customHeight="1" x14ac:dyDescent="0.2">
      <c r="B63" s="213" t="s">
        <v>180</v>
      </c>
      <c r="C63" s="213"/>
      <c r="D63" s="213"/>
      <c r="E63" s="213"/>
      <c r="F63" s="213"/>
      <c r="G63" s="213"/>
      <c r="H63" s="30"/>
      <c r="I63" s="31" t="s">
        <v>38</v>
      </c>
      <c r="J63" s="19"/>
      <c r="K63" s="19"/>
    </row>
    <row r="64" spans="1:12" ht="17.100000000000001" customHeight="1" x14ac:dyDescent="0.2">
      <c r="B64" s="213" t="s">
        <v>181</v>
      </c>
      <c r="C64" s="213"/>
      <c r="D64" s="213"/>
      <c r="E64" s="213"/>
      <c r="F64" s="213"/>
      <c r="G64" s="213"/>
      <c r="H64" s="30"/>
      <c r="J64" s="19"/>
      <c r="K64" s="19"/>
    </row>
    <row r="65" spans="1:12" ht="17.100000000000001" customHeight="1" x14ac:dyDescent="0.2">
      <c r="B65" s="213" t="s">
        <v>182</v>
      </c>
      <c r="C65" s="213"/>
      <c r="D65" s="213"/>
      <c r="E65" s="213"/>
      <c r="F65" s="213"/>
      <c r="G65" s="213"/>
      <c r="H65" s="30"/>
      <c r="I65" s="20"/>
      <c r="J65" s="19"/>
      <c r="K65" s="19"/>
    </row>
    <row r="66" spans="1:12" ht="17.100000000000001" customHeight="1" x14ac:dyDescent="0.2">
      <c r="B66" s="213" t="s">
        <v>183</v>
      </c>
      <c r="C66" s="213"/>
      <c r="D66" s="213"/>
      <c r="E66" s="213"/>
      <c r="F66" s="213"/>
      <c r="G66" s="213"/>
      <c r="H66" s="30"/>
      <c r="I66" s="17"/>
      <c r="J66" s="19"/>
      <c r="K66" s="19"/>
    </row>
    <row r="67" spans="1:12" ht="17.100000000000001" customHeight="1" x14ac:dyDescent="0.2">
      <c r="B67" s="213" t="s">
        <v>184</v>
      </c>
      <c r="C67" s="213"/>
      <c r="D67" s="213"/>
      <c r="E67" s="213"/>
      <c r="F67" s="213"/>
      <c r="G67" s="213"/>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53195.6</v>
      </c>
      <c r="E78" s="190">
        <f>LOOKUP('Basis-Annahmen'!E5,'Nachfrage &amp; Erzeugung'!D36:G36,'Nachfrage &amp; Erzeugung'!D38:G38)</f>
        <v>49251.199999999997</v>
      </c>
      <c r="F78" s="175"/>
      <c r="G78" s="175"/>
      <c r="H78" s="175"/>
      <c r="I78" s="175"/>
      <c r="J78" s="154"/>
      <c r="K78" s="154"/>
      <c r="L78" s="154"/>
    </row>
    <row r="79" spans="1:12" x14ac:dyDescent="0.2">
      <c r="A79" s="172"/>
      <c r="B79" s="172"/>
      <c r="C79" s="176" t="str">
        <f>'Nachfrage &amp; Erzeugung'!B39</f>
        <v>GHD / Industrie</v>
      </c>
      <c r="D79" s="190">
        <f>'Nachfrage &amp; Erzeugung'!C39</f>
        <v>115579.99</v>
      </c>
      <c r="E79" s="190">
        <f>LOOKUP('Basis-Annahmen'!E5,'Nachfrage &amp; Erzeugung'!D36:G36,'Nachfrage &amp; Erzeugung'!D39:G39)</f>
        <v>183669.04608704965</v>
      </c>
      <c r="F79" s="175"/>
      <c r="G79" s="176" t="s">
        <v>56</v>
      </c>
      <c r="H79" s="190">
        <f>'Nachfrage &amp; Erzeugung'!C46</f>
        <v>11218</v>
      </c>
      <c r="I79" s="190">
        <f>I40</f>
        <v>0</v>
      </c>
      <c r="J79" s="154"/>
      <c r="K79" s="154"/>
      <c r="L79" s="154"/>
    </row>
    <row r="80" spans="1:12" x14ac:dyDescent="0.2">
      <c r="A80" s="172"/>
      <c r="B80" s="172"/>
      <c r="C80" s="176" t="str">
        <f>'Nachfrage &amp; Erzeugung'!B40</f>
        <v>Kommunale Einrichtungen</v>
      </c>
      <c r="D80" s="190">
        <f>'Nachfrage &amp; Erzeugung'!C40</f>
        <v>4482</v>
      </c>
      <c r="E80" s="190">
        <f>LOOKUP('Basis-Annahmen'!E5,'Nachfrage &amp; Erzeugung'!D36:G36,'Nachfrage &amp; Erzeugung'!D40:G40)</f>
        <v>4800.3497250972296</v>
      </c>
      <c r="F80" s="175"/>
      <c r="G80" s="176" t="str">
        <f>'Nachfrage &amp; Erzeugung'!B47</f>
        <v>Nicht erneuerbare Wärmeerzeugung</v>
      </c>
      <c r="H80" s="190">
        <f>MAX(0,H82-H79)</f>
        <v>162040</v>
      </c>
      <c r="I80" s="190">
        <f>MAX(0,I82-I79)</f>
        <v>237720.5958121469</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173258</v>
      </c>
      <c r="E82" s="190">
        <f>LOOKUP('Basis-Annahmen'!E5,'Nachfrage &amp; Erzeugung'!D36:G36,'Nachfrage &amp; Erzeugung'!D37:G37)</f>
        <v>237720.5958121469</v>
      </c>
      <c r="F82" s="175"/>
      <c r="G82" s="176" t="s">
        <v>83</v>
      </c>
      <c r="H82" s="190">
        <f>'Nachfrage &amp; Erzeugung'!C37</f>
        <v>173258</v>
      </c>
      <c r="I82" s="190">
        <f>LOOKUP('Basis-Annahmen'!E5,'Nachfrage &amp; Erzeugung'!D36:G36,'Nachfrage &amp; Erzeugung'!D37:G37)</f>
        <v>237720.5958121469</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0.37206129478665861</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159</v>
      </c>
      <c r="B4" s="196"/>
      <c r="C4" s="196"/>
      <c r="D4" s="196"/>
      <c r="E4" s="196"/>
      <c r="F4" s="196"/>
      <c r="G4" s="196"/>
      <c r="H4" s="196"/>
      <c r="I4" s="196"/>
      <c r="J4" s="196"/>
      <c r="K4" s="196"/>
      <c r="L4" s="196"/>
      <c r="M4" s="6"/>
      <c r="N4" s="6"/>
    </row>
    <row r="5" spans="1:14" ht="21.6" customHeight="1" x14ac:dyDescent="0.25">
      <c r="A5" s="14"/>
      <c r="B5" s="187"/>
      <c r="C5" s="260" t="str">
        <f>"Prognostizierte Einwohnerzahl im Jahr "&amp;'Basis-Annahmen'!E5</f>
        <v>Prognostizierte Einwohnerzahl im Jahr 2035</v>
      </c>
      <c r="D5" s="260"/>
      <c r="E5" s="260"/>
      <c r="F5" s="260"/>
      <c r="G5" s="260"/>
      <c r="H5" s="261">
        <f>LOOKUP('Basis-Annahmen'!E5,'Basis-Annahmen'!E33:I33,'Basis-Annahmen'!E34:I34)</f>
        <v>12800</v>
      </c>
      <c r="I5" s="261"/>
      <c r="J5" s="261"/>
      <c r="K5" s="187"/>
    </row>
    <row r="6" spans="1:14" ht="10.5" customHeight="1" x14ac:dyDescent="0.2">
      <c r="A6" s="14"/>
      <c r="B6" s="177"/>
      <c r="C6" s="177"/>
      <c r="D6" s="177"/>
      <c r="E6" s="177"/>
      <c r="F6" s="177"/>
      <c r="G6" s="177"/>
      <c r="H6" s="177"/>
      <c r="I6" s="177"/>
      <c r="J6" s="177"/>
      <c r="K6" s="177"/>
    </row>
    <row r="7" spans="1:14" ht="31.5" customHeight="1" x14ac:dyDescent="0.2">
      <c r="A7" s="14"/>
      <c r="B7" s="217" t="str">
        <f>"Treibhausgasemissionen durch Strombezug im Jahr "&amp;'Basis-Annahmen'!E5</f>
        <v>Treibhausgasemissionen durch Strombezug im Jahr 2035</v>
      </c>
      <c r="C7" s="217"/>
      <c r="D7" s="217"/>
      <c r="E7" s="217"/>
      <c r="F7" s="217"/>
      <c r="G7" s="217"/>
      <c r="H7" s="217"/>
      <c r="I7" s="217"/>
      <c r="J7" s="217"/>
      <c r="K7" s="217"/>
    </row>
    <row r="8" spans="1:14" ht="21.6" customHeight="1" x14ac:dyDescent="0.2">
      <c r="A8" s="14"/>
      <c r="B8" s="177"/>
      <c r="C8" s="200" t="s">
        <v>162</v>
      </c>
      <c r="D8" s="200"/>
      <c r="E8" s="200"/>
      <c r="F8" s="200"/>
      <c r="G8" s="200"/>
      <c r="H8" s="263">
        <f>Ausbauziel_Strom!I78</f>
        <v>90686.566556862337</v>
      </c>
      <c r="I8" s="263"/>
      <c r="J8" s="263"/>
    </row>
    <row r="9" spans="1:14" ht="10.5" customHeight="1" x14ac:dyDescent="0.2">
      <c r="A9" s="14"/>
      <c r="B9" s="177"/>
      <c r="C9" s="177"/>
      <c r="D9" s="177"/>
      <c r="E9" s="177"/>
      <c r="F9" s="177"/>
      <c r="G9" s="177"/>
      <c r="H9" s="177"/>
      <c r="I9" s="177"/>
      <c r="J9" s="177"/>
      <c r="K9" s="177"/>
    </row>
    <row r="10" spans="1:14" ht="31.5" customHeight="1" x14ac:dyDescent="0.2">
      <c r="A10" s="14"/>
      <c r="B10" s="177"/>
      <c r="C10" s="262" t="s">
        <v>163</v>
      </c>
      <c r="D10" s="262"/>
      <c r="E10" s="262"/>
      <c r="F10" s="262"/>
      <c r="G10" s="262"/>
      <c r="H10" s="264">
        <v>200</v>
      </c>
      <c r="I10" s="264"/>
      <c r="J10" s="264"/>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59" t="s">
        <v>165</v>
      </c>
      <c r="D12" s="259"/>
      <c r="E12" s="259"/>
      <c r="F12" s="259"/>
      <c r="G12" s="259"/>
      <c r="H12" s="265">
        <f>H10*H8/1000</f>
        <v>18137.313311372465</v>
      </c>
      <c r="I12" s="265"/>
      <c r="J12" s="265"/>
      <c r="K12" s="177"/>
    </row>
    <row r="13" spans="1:14" ht="24.6" customHeight="1" x14ac:dyDescent="0.2">
      <c r="A13" s="14"/>
      <c r="B13" s="177"/>
      <c r="C13" s="259" t="s">
        <v>164</v>
      </c>
      <c r="D13" s="259"/>
      <c r="E13" s="259"/>
      <c r="F13" s="259"/>
      <c r="G13" s="259"/>
      <c r="H13" s="266">
        <f>H12/H5</f>
        <v>1.4169776024509739</v>
      </c>
      <c r="I13" s="266"/>
      <c r="J13" s="266"/>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7" t="str">
        <f>"Treibhausgasemissionen durch nicht-erneuerbare Wärmeerzeugung im Jahr "&amp;'Basis-Annahmen'!E5</f>
        <v>Treibhausgasemissionen durch nicht-erneuerbare Wärmeerzeugung im Jahr 2035</v>
      </c>
      <c r="C15" s="217"/>
      <c r="D15" s="217"/>
      <c r="E15" s="217"/>
      <c r="F15" s="217"/>
      <c r="G15" s="217"/>
      <c r="H15" s="217"/>
      <c r="I15" s="217"/>
      <c r="J15" s="217"/>
      <c r="K15" s="217"/>
    </row>
    <row r="16" spans="1:14" ht="21.6" customHeight="1" x14ac:dyDescent="0.2">
      <c r="A16" s="14"/>
      <c r="B16" s="177"/>
      <c r="C16" s="200" t="s">
        <v>160</v>
      </c>
      <c r="D16" s="200"/>
      <c r="E16" s="200"/>
      <c r="F16" s="200"/>
      <c r="G16" s="200"/>
      <c r="H16" s="263">
        <f>Ausbauziel_Wärme!I41</f>
        <v>237720.5958121469</v>
      </c>
      <c r="I16" s="263"/>
      <c r="J16" s="263"/>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2" t="s">
        <v>161</v>
      </c>
      <c r="D18" s="262"/>
      <c r="E18" s="262"/>
      <c r="F18" s="262"/>
      <c r="G18" s="262"/>
      <c r="H18" s="264">
        <v>240</v>
      </c>
      <c r="I18" s="264"/>
      <c r="J18" s="264"/>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59" t="s">
        <v>165</v>
      </c>
      <c r="D20" s="259"/>
      <c r="E20" s="259"/>
      <c r="F20" s="259"/>
      <c r="G20" s="259"/>
      <c r="H20" s="265">
        <f>H18*H16/1000</f>
        <v>57052.942994915255</v>
      </c>
      <c r="I20" s="265"/>
      <c r="J20" s="265"/>
      <c r="K20" s="177"/>
    </row>
    <row r="21" spans="1:11" ht="24.6" customHeight="1" x14ac:dyDescent="0.2">
      <c r="A21" s="14"/>
      <c r="B21" s="177"/>
      <c r="C21" s="259" t="s">
        <v>164</v>
      </c>
      <c r="D21" s="259"/>
      <c r="E21" s="259"/>
      <c r="F21" s="259"/>
      <c r="G21" s="259"/>
      <c r="H21" s="266">
        <f>H20/H5</f>
        <v>4.4572611714777546</v>
      </c>
      <c r="I21" s="266"/>
      <c r="J21" s="266"/>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7" t="str">
        <f>"Treibhausgasemissionen durch Treibstoffe im Individualverkehr im Jahr "&amp;'Basis-Annahmen'!E5</f>
        <v>Treibhausgasemissionen durch Treibstoffe im Individualverkehr im Jahr 2035</v>
      </c>
      <c r="C23" s="217"/>
      <c r="D23" s="217"/>
      <c r="E23" s="217"/>
      <c r="F23" s="217"/>
      <c r="G23" s="217"/>
      <c r="H23" s="217"/>
      <c r="I23" s="217"/>
      <c r="J23" s="217"/>
      <c r="K23" s="217"/>
    </row>
    <row r="24" spans="1:11" ht="31.5" customHeight="1" x14ac:dyDescent="0.2">
      <c r="A24" s="14"/>
      <c r="B24" s="177"/>
      <c r="C24" s="267" t="s">
        <v>173</v>
      </c>
      <c r="D24" s="262"/>
      <c r="E24" s="262"/>
      <c r="F24" s="262"/>
      <c r="G24" s="262"/>
      <c r="H24" s="268">
        <v>4.0999999999999996</v>
      </c>
      <c r="I24" s="268"/>
      <c r="J24" s="268"/>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59" t="s">
        <v>165</v>
      </c>
      <c r="D26" s="259"/>
      <c r="E26" s="259"/>
      <c r="F26" s="259"/>
      <c r="G26" s="259"/>
      <c r="H26" s="265">
        <f>H27*H5</f>
        <v>22579.63025210084</v>
      </c>
      <c r="I26" s="265"/>
      <c r="J26" s="265"/>
      <c r="K26" s="177"/>
    </row>
    <row r="27" spans="1:11" ht="24.6" customHeight="1" x14ac:dyDescent="0.2">
      <c r="A27" s="14"/>
      <c r="B27" s="177"/>
      <c r="C27" s="259" t="s">
        <v>164</v>
      </c>
      <c r="D27" s="259"/>
      <c r="E27" s="259"/>
      <c r="F27" s="259"/>
      <c r="G27" s="259"/>
      <c r="H27" s="266">
        <f>H24*IF('Basis-Annahmen'!E5=2030,(100%-'Basis-Annahmen'!G14)*('Basis-Annahmen'!G45/'Basis-Annahmen'!E45),IF('Basis-Annahmen'!E5=2035,(100%-'Basis-Annahmen'!H14)*('Basis-Annahmen'!H45/'Basis-Annahmen'!E45),IF('Basis-Annahmen'!E5=2040,(100%-'Basis-Annahmen'!I14)*('Basis-Annahmen'!I45/'Basis-Annahmen'!E45),1000000)))</f>
        <v>1.764033613445378</v>
      </c>
      <c r="I27" s="266"/>
      <c r="J27" s="266"/>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7" t="str">
        <f>"Treibhausgasemissionen der Sektoren Strom, Wärme und Verkehr im Jahr "&amp;'Basis-Annahmen'!E5</f>
        <v>Treibhausgasemissionen der Sektoren Strom, Wärme und Verkehr im Jahr 2035</v>
      </c>
      <c r="C29" s="217"/>
      <c r="D29" s="217"/>
      <c r="E29" s="217"/>
      <c r="F29" s="217"/>
      <c r="G29" s="217"/>
      <c r="H29" s="217"/>
      <c r="I29" s="217"/>
      <c r="J29" s="217"/>
      <c r="K29" s="217"/>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59" t="s">
        <v>165</v>
      </c>
      <c r="D31" s="259"/>
      <c r="E31" s="259"/>
      <c r="F31" s="259"/>
      <c r="G31" s="259"/>
      <c r="H31" s="265">
        <f>H26+H20+H12</f>
        <v>97769.886558388549</v>
      </c>
      <c r="I31" s="265"/>
      <c r="J31" s="265"/>
      <c r="K31" s="177"/>
    </row>
    <row r="32" spans="1:11" ht="24.6" customHeight="1" x14ac:dyDescent="0.2">
      <c r="A32" s="14"/>
      <c r="B32" s="177"/>
      <c r="C32" s="259" t="s">
        <v>164</v>
      </c>
      <c r="D32" s="259"/>
      <c r="E32" s="259"/>
      <c r="F32" s="259"/>
      <c r="G32" s="259"/>
      <c r="H32" s="266">
        <f>H27+H21+H13</f>
        <v>7.6382723873741067</v>
      </c>
      <c r="I32" s="266"/>
      <c r="J32" s="266"/>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3" t="s">
        <v>39</v>
      </c>
      <c r="B39" s="223"/>
      <c r="C39" s="223"/>
      <c r="D39" s="223"/>
      <c r="E39" s="223"/>
      <c r="F39" s="223"/>
      <c r="G39" s="223"/>
      <c r="H39" s="223"/>
      <c r="I39" s="223"/>
      <c r="J39" s="223"/>
      <c r="K39" s="223"/>
    </row>
    <row r="40" spans="1:13" ht="27.75" customHeight="1" x14ac:dyDescent="0.2">
      <c r="K40" s="1"/>
    </row>
    <row r="41" spans="1:13" ht="32.25" customHeight="1" x14ac:dyDescent="0.2">
      <c r="A41" s="222" t="s">
        <v>40</v>
      </c>
      <c r="B41" s="222"/>
      <c r="C41" s="222"/>
      <c r="D41" s="222"/>
      <c r="E41" s="222"/>
      <c r="F41" s="222"/>
      <c r="G41" s="222"/>
      <c r="H41" s="222"/>
      <c r="I41" s="222"/>
      <c r="J41" s="222"/>
      <c r="K41" s="222"/>
    </row>
    <row r="42" spans="1:13" ht="77.25" customHeight="1" x14ac:dyDescent="0.2">
      <c r="B42" s="213" t="s">
        <v>189</v>
      </c>
      <c r="C42" s="213"/>
      <c r="D42" s="213"/>
      <c r="E42" s="213"/>
      <c r="F42" s="213"/>
      <c r="G42" s="213"/>
      <c r="H42" s="213"/>
      <c r="I42" s="213"/>
      <c r="J42" s="213"/>
      <c r="K42" s="213"/>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3" t="s">
        <v>177</v>
      </c>
      <c r="C46" s="213"/>
      <c r="D46" s="213"/>
      <c r="E46" s="213"/>
      <c r="F46" s="213"/>
      <c r="G46" s="213"/>
      <c r="H46" s="29"/>
      <c r="I46" s="18" t="s">
        <v>35</v>
      </c>
      <c r="J46" s="17"/>
      <c r="K46" s="17"/>
    </row>
    <row r="47" spans="1:13" ht="18" customHeight="1" x14ac:dyDescent="0.2">
      <c r="B47" s="213" t="s">
        <v>178</v>
      </c>
      <c r="C47" s="213"/>
      <c r="D47" s="213"/>
      <c r="E47" s="213"/>
      <c r="F47" s="213"/>
      <c r="G47" s="213"/>
      <c r="H47" s="29"/>
      <c r="I47" s="18" t="s">
        <v>36</v>
      </c>
      <c r="J47" s="17"/>
      <c r="K47" s="17"/>
    </row>
    <row r="48" spans="1:13" ht="18" customHeight="1" x14ac:dyDescent="0.2">
      <c r="B48" s="213" t="s">
        <v>179</v>
      </c>
      <c r="C48" s="213"/>
      <c r="D48" s="213"/>
      <c r="E48" s="213"/>
      <c r="F48" s="213"/>
      <c r="G48" s="213"/>
      <c r="H48" s="29"/>
      <c r="I48" s="18" t="s">
        <v>37</v>
      </c>
      <c r="J48" s="17"/>
      <c r="K48" s="17"/>
    </row>
    <row r="49" spans="1:12" ht="18" customHeight="1" x14ac:dyDescent="0.2">
      <c r="B49" s="213" t="s">
        <v>180</v>
      </c>
      <c r="C49" s="213"/>
      <c r="D49" s="213"/>
      <c r="E49" s="213"/>
      <c r="F49" s="213"/>
      <c r="G49" s="213"/>
      <c r="H49" s="30"/>
      <c r="I49" s="31" t="s">
        <v>38</v>
      </c>
      <c r="J49" s="19"/>
      <c r="K49" s="19"/>
    </row>
    <row r="50" spans="1:12" ht="18" customHeight="1" x14ac:dyDescent="0.2">
      <c r="B50" s="213" t="s">
        <v>181</v>
      </c>
      <c r="C50" s="213"/>
      <c r="D50" s="213"/>
      <c r="E50" s="213"/>
      <c r="F50" s="213"/>
      <c r="G50" s="213"/>
      <c r="H50" s="30"/>
      <c r="J50" s="19"/>
      <c r="K50" s="19"/>
    </row>
    <row r="51" spans="1:12" ht="18" customHeight="1" x14ac:dyDescent="0.2">
      <c r="B51" s="213" t="s">
        <v>182</v>
      </c>
      <c r="C51" s="213"/>
      <c r="D51" s="213"/>
      <c r="E51" s="213"/>
      <c r="F51" s="213"/>
      <c r="G51" s="213"/>
      <c r="H51" s="30"/>
      <c r="I51" s="20"/>
      <c r="J51" s="19"/>
      <c r="K51" s="19"/>
    </row>
    <row r="52" spans="1:12" ht="18" customHeight="1" x14ac:dyDescent="0.2">
      <c r="B52" s="213" t="s">
        <v>183</v>
      </c>
      <c r="C52" s="213"/>
      <c r="D52" s="213"/>
      <c r="E52" s="213"/>
      <c r="F52" s="213"/>
      <c r="G52" s="213"/>
      <c r="H52" s="30"/>
      <c r="I52" s="17"/>
      <c r="J52" s="19"/>
      <c r="K52" s="19"/>
    </row>
    <row r="53" spans="1:12" ht="18" customHeight="1" x14ac:dyDescent="0.2">
      <c r="B53" s="213" t="s">
        <v>184</v>
      </c>
      <c r="C53" s="213"/>
      <c r="D53" s="213"/>
      <c r="E53" s="213"/>
      <c r="F53" s="213"/>
      <c r="G53" s="213"/>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18137.313311372465</v>
      </c>
      <c r="E56" s="154"/>
      <c r="F56" s="154"/>
      <c r="G56" s="154"/>
      <c r="H56" s="154"/>
      <c r="I56" s="154"/>
      <c r="J56" s="154"/>
      <c r="K56" s="154"/>
    </row>
    <row r="57" spans="1:12" x14ac:dyDescent="0.2">
      <c r="C57" s="154" t="s">
        <v>72</v>
      </c>
      <c r="D57" s="183">
        <f>H20</f>
        <v>57052.942994915255</v>
      </c>
      <c r="E57" s="154"/>
      <c r="F57" s="154"/>
      <c r="G57" s="154"/>
      <c r="H57" s="154"/>
      <c r="I57" s="154"/>
      <c r="J57" s="154"/>
      <c r="K57" s="154"/>
    </row>
    <row r="58" spans="1:12" x14ac:dyDescent="0.2">
      <c r="C58" s="154" t="s">
        <v>170</v>
      </c>
      <c r="D58" s="183">
        <f>H26</f>
        <v>22579.63025210084</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8" t="s">
        <v>109</v>
      </c>
      <c r="B2" s="278"/>
      <c r="C2" s="278"/>
      <c r="D2" s="278"/>
      <c r="E2" s="278"/>
      <c r="F2" s="278"/>
      <c r="G2" s="278"/>
      <c r="H2" s="278"/>
      <c r="I2" s="278"/>
      <c r="J2" s="278"/>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3" t="s">
        <v>99</v>
      </c>
      <c r="C4" s="274"/>
      <c r="D4" s="274"/>
      <c r="E4" s="274"/>
      <c r="F4" s="274"/>
      <c r="G4" s="274"/>
      <c r="H4" s="274"/>
      <c r="I4" s="275"/>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3" t="s">
        <v>48</v>
      </c>
      <c r="C7" s="274"/>
      <c r="D7" s="274"/>
      <c r="E7" s="274"/>
      <c r="F7" s="274"/>
      <c r="G7" s="274"/>
      <c r="H7" s="274"/>
      <c r="I7" s="275"/>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69" t="s">
        <v>49</v>
      </c>
      <c r="C9" s="270"/>
      <c r="D9" s="270"/>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3" t="s">
        <v>8</v>
      </c>
      <c r="C11" s="274"/>
      <c r="D11" s="274"/>
      <c r="E11" s="274"/>
      <c r="F11" s="274"/>
      <c r="G11" s="274"/>
      <c r="H11" s="274"/>
      <c r="I11" s="275"/>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79" t="s">
        <v>171</v>
      </c>
      <c r="C13" s="280"/>
      <c r="D13" s="280"/>
      <c r="E13" s="47"/>
      <c r="F13" s="48">
        <v>0</v>
      </c>
      <c r="G13" s="48">
        <v>0</v>
      </c>
      <c r="H13" s="48">
        <v>0</v>
      </c>
      <c r="I13" s="52">
        <v>0</v>
      </c>
      <c r="J13" s="14"/>
    </row>
    <row r="14" spans="1:26" ht="20.100000000000001" customHeight="1" x14ac:dyDescent="0.2">
      <c r="A14" s="14"/>
      <c r="B14" s="279" t="s">
        <v>5</v>
      </c>
      <c r="C14" s="280"/>
      <c r="D14" s="280"/>
      <c r="E14" s="34">
        <f>E46/E45</f>
        <v>5.2275914828509495E-3</v>
      </c>
      <c r="F14" s="48">
        <v>0.05</v>
      </c>
      <c r="G14" s="48">
        <v>0.3</v>
      </c>
      <c r="H14" s="48">
        <v>0.6</v>
      </c>
      <c r="I14" s="52">
        <v>1</v>
      </c>
      <c r="J14" s="14"/>
    </row>
    <row r="15" spans="1:26" ht="30" customHeight="1" x14ac:dyDescent="0.2">
      <c r="A15" s="14"/>
      <c r="B15" s="281" t="s">
        <v>50</v>
      </c>
      <c r="C15" s="282"/>
      <c r="D15" s="282"/>
      <c r="E15" s="53">
        <f>E47/E45</f>
        <v>1.9125334693357133E-2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3" t="s">
        <v>69</v>
      </c>
      <c r="C17" s="274"/>
      <c r="D17" s="274"/>
      <c r="E17" s="274"/>
      <c r="F17" s="274"/>
      <c r="G17" s="274"/>
      <c r="H17" s="274"/>
      <c r="I17" s="275"/>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79" t="s">
        <v>70</v>
      </c>
      <c r="C19" s="280"/>
      <c r="D19" s="280"/>
      <c r="E19" s="47"/>
      <c r="F19" s="54">
        <v>1.4999999999999999E-2</v>
      </c>
      <c r="G19" s="54">
        <v>1.4999999999999999E-2</v>
      </c>
      <c r="H19" s="54">
        <v>1.4999999999999999E-2</v>
      </c>
      <c r="I19" s="55">
        <v>1.4999999999999999E-2</v>
      </c>
      <c r="J19" s="14"/>
    </row>
    <row r="20" spans="1:16" ht="20.100000000000001" customHeight="1" x14ac:dyDescent="0.2">
      <c r="A20" s="14"/>
      <c r="B20" s="281" t="s">
        <v>71</v>
      </c>
      <c r="C20" s="282"/>
      <c r="D20" s="282"/>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3" t="s">
        <v>105</v>
      </c>
      <c r="C22" s="274"/>
      <c r="D22" s="274"/>
      <c r="E22" s="274"/>
      <c r="F22" s="274"/>
      <c r="G22" s="274"/>
      <c r="H22" s="274"/>
      <c r="I22" s="275"/>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1" t="s">
        <v>51</v>
      </c>
      <c r="C24" s="282"/>
      <c r="D24" s="282"/>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3" t="s">
        <v>52</v>
      </c>
      <c r="C26" s="274"/>
      <c r="D26" s="274"/>
      <c r="E26" s="274"/>
      <c r="F26" s="274"/>
      <c r="G26" s="274"/>
      <c r="H26" s="274"/>
      <c r="I26" s="275"/>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1" t="s">
        <v>53</v>
      </c>
      <c r="C28" s="272"/>
      <c r="D28" s="272"/>
      <c r="E28" s="40"/>
      <c r="F28" s="41">
        <v>60</v>
      </c>
      <c r="G28" s="41">
        <v>40</v>
      </c>
      <c r="H28" s="41">
        <v>25</v>
      </c>
      <c r="I28" s="43">
        <v>25</v>
      </c>
      <c r="J28" s="14"/>
    </row>
    <row r="29" spans="1:16" ht="20.100000000000001" customHeight="1" x14ac:dyDescent="0.2">
      <c r="A29" s="14"/>
      <c r="B29" s="271" t="s">
        <v>54</v>
      </c>
      <c r="C29" s="272"/>
      <c r="D29" s="272"/>
      <c r="E29" s="42"/>
      <c r="F29" s="41">
        <v>80</v>
      </c>
      <c r="G29" s="41">
        <v>80</v>
      </c>
      <c r="H29" s="41">
        <v>80</v>
      </c>
      <c r="I29" s="43">
        <v>80</v>
      </c>
      <c r="J29" s="14"/>
    </row>
    <row r="30" spans="1:16" ht="20.100000000000001" customHeight="1" x14ac:dyDescent="0.2">
      <c r="A30" s="14"/>
      <c r="B30" s="269" t="s">
        <v>55</v>
      </c>
      <c r="C30" s="270"/>
      <c r="D30" s="270"/>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3" t="s">
        <v>1</v>
      </c>
      <c r="C32" s="274"/>
      <c r="D32" s="274"/>
      <c r="E32" s="274"/>
      <c r="F32" s="274"/>
      <c r="G32" s="274"/>
      <c r="H32" s="274"/>
      <c r="I32" s="275"/>
      <c r="J32" s="14"/>
    </row>
    <row r="33" spans="1:10" ht="19.5" customHeight="1" x14ac:dyDescent="0.2">
      <c r="A33" s="14"/>
      <c r="B33" s="276"/>
      <c r="C33" s="277"/>
      <c r="D33" s="277"/>
      <c r="E33" s="33">
        <v>2020</v>
      </c>
      <c r="F33" s="33">
        <v>2025</v>
      </c>
      <c r="G33" s="33">
        <v>2030</v>
      </c>
      <c r="H33" s="33">
        <v>2035</v>
      </c>
      <c r="I33" s="46">
        <v>2040</v>
      </c>
      <c r="J33" s="14"/>
    </row>
    <row r="34" spans="1:10" ht="19.5" customHeight="1" x14ac:dyDescent="0.2">
      <c r="A34" s="14"/>
      <c r="B34" s="271" t="s">
        <v>59</v>
      </c>
      <c r="C34" s="272"/>
      <c r="D34" s="272"/>
      <c r="E34" s="69">
        <v>11900</v>
      </c>
      <c r="F34" s="69">
        <v>12400</v>
      </c>
      <c r="G34" s="69">
        <v>12600</v>
      </c>
      <c r="H34" s="69">
        <v>12800</v>
      </c>
      <c r="I34" s="70">
        <v>13000</v>
      </c>
      <c r="J34" s="14"/>
    </row>
    <row r="35" spans="1:10" ht="37.5" customHeight="1" x14ac:dyDescent="0.2">
      <c r="A35" s="14"/>
      <c r="B35" s="276"/>
      <c r="C35" s="277"/>
      <c r="D35" s="277"/>
      <c r="E35" s="32"/>
      <c r="F35" s="32" t="s">
        <v>61</v>
      </c>
      <c r="G35" s="32" t="s">
        <v>62</v>
      </c>
      <c r="H35" s="32" t="s">
        <v>63</v>
      </c>
      <c r="I35" s="71" t="s">
        <v>96</v>
      </c>
      <c r="J35" s="14"/>
    </row>
    <row r="36" spans="1:10" ht="19.5" customHeight="1" x14ac:dyDescent="0.2">
      <c r="A36" s="14"/>
      <c r="B36" s="269" t="s">
        <v>60</v>
      </c>
      <c r="C36" s="270"/>
      <c r="D36" s="270"/>
      <c r="E36" s="66"/>
      <c r="F36" s="67">
        <f>(F34-E34)/E34</f>
        <v>4.2016806722689079E-2</v>
      </c>
      <c r="G36" s="67">
        <f>(G34-F34)/F34</f>
        <v>1.6129032258064516E-2</v>
      </c>
      <c r="H36" s="67">
        <f>(H34-G34)/G34</f>
        <v>1.5873015873015872E-2</v>
      </c>
      <c r="I36" s="68">
        <f>(I34-H34)/H34</f>
        <v>1.5625E-2</v>
      </c>
      <c r="J36" s="14"/>
    </row>
    <row r="37" spans="1:10" ht="19.5" customHeight="1" x14ac:dyDescent="0.2">
      <c r="A37" s="14"/>
      <c r="B37" s="47"/>
      <c r="C37" s="47"/>
      <c r="D37" s="47"/>
      <c r="E37" s="37"/>
      <c r="F37" s="34"/>
      <c r="G37" s="34"/>
      <c r="H37" s="34"/>
      <c r="I37" s="34"/>
      <c r="J37" s="14"/>
    </row>
    <row r="38" spans="1:10" ht="19.5" customHeight="1" x14ac:dyDescent="0.2">
      <c r="A38" s="14"/>
      <c r="B38" s="273" t="s">
        <v>121</v>
      </c>
      <c r="C38" s="274"/>
      <c r="D38" s="274"/>
      <c r="E38" s="274"/>
      <c r="F38" s="274"/>
      <c r="G38" s="274"/>
      <c r="H38" s="274"/>
      <c r="I38" s="275"/>
      <c r="J38" s="14"/>
    </row>
    <row r="39" spans="1:10" ht="19.5" customHeight="1" x14ac:dyDescent="0.2">
      <c r="A39" s="14"/>
      <c r="B39" s="58"/>
      <c r="C39" s="14"/>
      <c r="D39" s="14"/>
      <c r="E39" s="84" t="s">
        <v>172</v>
      </c>
      <c r="F39" s="14"/>
      <c r="G39" s="14"/>
      <c r="H39" s="14"/>
      <c r="I39" s="82"/>
      <c r="J39" s="14"/>
    </row>
    <row r="40" spans="1:10" ht="19.5" customHeight="1" x14ac:dyDescent="0.2">
      <c r="A40" s="14"/>
      <c r="B40" s="269" t="s">
        <v>111</v>
      </c>
      <c r="C40" s="270"/>
      <c r="D40" s="270"/>
      <c r="E40" s="80">
        <v>40</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3" t="s">
        <v>64</v>
      </c>
      <c r="C42" s="274"/>
      <c r="D42" s="274"/>
      <c r="E42" s="274"/>
      <c r="F42" s="274"/>
      <c r="G42" s="274"/>
      <c r="H42" s="274"/>
      <c r="I42" s="275"/>
      <c r="J42" s="14"/>
    </row>
    <row r="43" spans="1:10" ht="19.5" customHeight="1" x14ac:dyDescent="0.2">
      <c r="A43" s="14"/>
      <c r="B43" s="276"/>
      <c r="C43" s="277"/>
      <c r="D43" s="277"/>
      <c r="E43" s="33">
        <v>2020</v>
      </c>
      <c r="F43" s="33">
        <v>2025</v>
      </c>
      <c r="G43" s="33">
        <v>2030</v>
      </c>
      <c r="H43" s="33">
        <v>2035</v>
      </c>
      <c r="I43" s="46">
        <v>2040</v>
      </c>
      <c r="J43" s="14"/>
    </row>
    <row r="44" spans="1:10" ht="19.5" customHeight="1" x14ac:dyDescent="0.2">
      <c r="A44" s="14"/>
      <c r="B44" s="271" t="s">
        <v>110</v>
      </c>
      <c r="C44" s="272"/>
      <c r="D44" s="272"/>
      <c r="E44" s="73">
        <v>0.65907563025210081</v>
      </c>
      <c r="F44" s="73">
        <f>E44*(1+(F13*(F43-E43)))</f>
        <v>0.65907563025210081</v>
      </c>
      <c r="G44" s="73">
        <f t="shared" ref="G44:I44" si="0">F44*(1+(G13*(G43-F43)))</f>
        <v>0.65907563025210081</v>
      </c>
      <c r="H44" s="73">
        <f t="shared" si="0"/>
        <v>0.65907563025210081</v>
      </c>
      <c r="I44" s="188">
        <f t="shared" si="0"/>
        <v>0.65907563025210081</v>
      </c>
      <c r="J44" s="14"/>
    </row>
    <row r="45" spans="1:10" ht="19.5" customHeight="1" x14ac:dyDescent="0.2">
      <c r="A45" s="14"/>
      <c r="B45" s="271" t="s">
        <v>4</v>
      </c>
      <c r="C45" s="272"/>
      <c r="D45" s="272"/>
      <c r="E45" s="69">
        <v>7843</v>
      </c>
      <c r="F45" s="36">
        <f>F44*F34</f>
        <v>8172.5378151260502</v>
      </c>
      <c r="G45" s="36">
        <f t="shared" ref="G45:I45" si="1">G44*G34</f>
        <v>8304.3529411764703</v>
      </c>
      <c r="H45" s="36">
        <f t="shared" si="1"/>
        <v>8436.1680672268903</v>
      </c>
      <c r="I45" s="74">
        <f t="shared" si="1"/>
        <v>8567.9831932773104</v>
      </c>
      <c r="J45" s="14"/>
    </row>
    <row r="46" spans="1:10" ht="19.5" customHeight="1" x14ac:dyDescent="0.2">
      <c r="A46" s="14"/>
      <c r="B46" s="271" t="s">
        <v>2</v>
      </c>
      <c r="C46" s="272"/>
      <c r="D46" s="272"/>
      <c r="E46" s="69">
        <v>41</v>
      </c>
      <c r="F46" s="36">
        <f>F$45*F$14</f>
        <v>408.62689075630254</v>
      </c>
      <c r="G46" s="36">
        <f>G$45*G$14</f>
        <v>2491.3058823529409</v>
      </c>
      <c r="H46" s="36">
        <f>H$45*H$14</f>
        <v>5061.7008403361342</v>
      </c>
      <c r="I46" s="74">
        <f>I$45*I$14</f>
        <v>8567.9831932773104</v>
      </c>
      <c r="J46" s="14"/>
    </row>
    <row r="47" spans="1:10" ht="19.5" customHeight="1" x14ac:dyDescent="0.2">
      <c r="A47" s="14"/>
      <c r="B47" s="269" t="s">
        <v>3</v>
      </c>
      <c r="C47" s="270"/>
      <c r="D47" s="270"/>
      <c r="E47" s="75">
        <v>150</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3" t="s">
        <v>58</v>
      </c>
      <c r="C49" s="274"/>
      <c r="D49" s="274"/>
      <c r="E49" s="274"/>
      <c r="F49" s="274"/>
      <c r="G49" s="274"/>
      <c r="H49" s="274"/>
      <c r="I49" s="275"/>
      <c r="J49" s="14"/>
    </row>
    <row r="50" spans="1:10" ht="19.5" customHeight="1" x14ac:dyDescent="0.2">
      <c r="A50" s="14"/>
      <c r="B50" s="276"/>
      <c r="C50" s="277"/>
      <c r="D50" s="277"/>
      <c r="E50" s="33">
        <v>2020</v>
      </c>
      <c r="F50" s="33">
        <v>2025</v>
      </c>
      <c r="G50" s="33">
        <v>2030</v>
      </c>
      <c r="H50" s="33">
        <v>2035</v>
      </c>
      <c r="I50" s="46">
        <v>2040</v>
      </c>
      <c r="J50" s="14"/>
    </row>
    <row r="51" spans="1:10" ht="19.5" customHeight="1" x14ac:dyDescent="0.2">
      <c r="A51" s="14"/>
      <c r="B51" s="271" t="s">
        <v>57</v>
      </c>
      <c r="C51" s="272"/>
      <c r="D51" s="272"/>
      <c r="E51" s="78">
        <v>3</v>
      </c>
      <c r="F51" s="78">
        <v>3</v>
      </c>
      <c r="G51" s="78">
        <v>3</v>
      </c>
      <c r="H51" s="78">
        <v>3</v>
      </c>
      <c r="I51" s="79">
        <v>3</v>
      </c>
      <c r="J51" s="14"/>
    </row>
    <row r="52" spans="1:10" ht="19.5" customHeight="1" x14ac:dyDescent="0.2">
      <c r="A52" s="14"/>
      <c r="B52" s="269" t="s">
        <v>9</v>
      </c>
      <c r="C52" s="270"/>
      <c r="D52" s="270"/>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3" t="s">
        <v>65</v>
      </c>
      <c r="C54" s="274"/>
      <c r="D54" s="274"/>
      <c r="E54" s="274"/>
      <c r="F54" s="274"/>
      <c r="G54" s="274"/>
      <c r="H54" s="274"/>
      <c r="I54" s="275"/>
      <c r="J54" s="14"/>
    </row>
    <row r="55" spans="1:10" ht="19.5" customHeight="1" x14ac:dyDescent="0.2">
      <c r="A55" s="14"/>
      <c r="B55" s="271" t="s">
        <v>146</v>
      </c>
      <c r="C55" s="272"/>
      <c r="D55" s="272"/>
      <c r="E55" s="78">
        <v>30</v>
      </c>
      <c r="F55" s="14"/>
      <c r="G55" s="14"/>
      <c r="H55" s="14"/>
      <c r="I55" s="82"/>
      <c r="J55" s="14"/>
    </row>
    <row r="56" spans="1:10" ht="19.5" customHeight="1" x14ac:dyDescent="0.2">
      <c r="A56" s="14"/>
      <c r="B56" s="271" t="s">
        <v>168</v>
      </c>
      <c r="C56" s="272"/>
      <c r="D56" s="272"/>
      <c r="E56" s="78">
        <v>5</v>
      </c>
      <c r="F56" s="14"/>
      <c r="G56" s="14"/>
      <c r="H56" s="14"/>
      <c r="I56" s="82"/>
      <c r="J56" s="14"/>
    </row>
    <row r="57" spans="1:10" ht="19.5" customHeight="1" x14ac:dyDescent="0.2">
      <c r="A57" s="14"/>
      <c r="B57" s="269" t="s">
        <v>169</v>
      </c>
      <c r="C57" s="270"/>
      <c r="D57" s="270"/>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8" t="s">
        <v>112</v>
      </c>
      <c r="B2" s="278"/>
      <c r="C2" s="278"/>
      <c r="D2" s="278"/>
      <c r="E2" s="278"/>
      <c r="F2" s="278"/>
      <c r="G2" s="278"/>
      <c r="H2" s="278"/>
    </row>
    <row r="5" spans="1:8" s="26" customFormat="1" ht="34.5" customHeight="1" x14ac:dyDescent="0.25">
      <c r="B5" s="283" t="s">
        <v>74</v>
      </c>
      <c r="C5" s="283"/>
      <c r="D5" s="283"/>
      <c r="E5" s="283"/>
      <c r="F5" s="283"/>
      <c r="G5" s="283"/>
    </row>
    <row r="7" spans="1:8" x14ac:dyDescent="0.2">
      <c r="B7" s="14"/>
      <c r="C7" s="14"/>
      <c r="D7" s="14"/>
      <c r="E7" s="14"/>
      <c r="F7" s="14"/>
      <c r="G7" s="14"/>
      <c r="H7" s="14"/>
    </row>
    <row r="8" spans="1:8" ht="20.100000000000001" customHeight="1" x14ac:dyDescent="0.2">
      <c r="B8" s="273" t="s">
        <v>66</v>
      </c>
      <c r="C8" s="274"/>
      <c r="D8" s="274"/>
      <c r="E8" s="274"/>
      <c r="F8" s="274"/>
      <c r="G8" s="274"/>
      <c r="H8" s="14"/>
    </row>
    <row r="9" spans="1:8" ht="19.5" customHeight="1" x14ac:dyDescent="0.2">
      <c r="B9" s="86"/>
      <c r="C9" s="91">
        <v>2018</v>
      </c>
      <c r="D9" s="91">
        <v>2025</v>
      </c>
      <c r="E9" s="91">
        <v>2030</v>
      </c>
      <c r="F9" s="91">
        <v>2035</v>
      </c>
      <c r="G9" s="92">
        <v>2040</v>
      </c>
      <c r="H9" s="14"/>
    </row>
    <row r="10" spans="1:8" ht="19.5" customHeight="1" x14ac:dyDescent="0.2">
      <c r="B10" s="87" t="s">
        <v>68</v>
      </c>
      <c r="C10" s="93">
        <v>66843.33</v>
      </c>
      <c r="D10" s="94">
        <f>D11+D12+D13+D14+D15</f>
        <v>65566.934975375712</v>
      </c>
      <c r="E10" s="94">
        <f>E11+E12+E13+E14+D15</f>
        <v>77021.350805329144</v>
      </c>
      <c r="F10" s="94">
        <f>F11+F12+F13+F14+D15</f>
        <v>90686.566556862337</v>
      </c>
      <c r="G10" s="95">
        <f>G11+G12+G13+G14+D15</f>
        <v>107987.25306265694</v>
      </c>
      <c r="H10" s="14"/>
    </row>
    <row r="11" spans="1:8" ht="19.5" customHeight="1" x14ac:dyDescent="0.2">
      <c r="B11" s="88" t="s">
        <v>6</v>
      </c>
      <c r="C11" s="96">
        <v>12527.4</v>
      </c>
      <c r="D11" s="97">
        <f>C11/'Basis-Annahmen'!E34*((1-'Basis-Annahmen'!F19)^(D9-C9))*'Basis-Annahmen'!F34</f>
        <v>11743.276372660748</v>
      </c>
      <c r="E11" s="97">
        <f>D11/'Basis-Annahmen'!F34*((1-'Basis-Annahmen'!G19)^5)*'Basis-Annahmen'!G34</f>
        <v>11064.181574322534</v>
      </c>
      <c r="F11" s="97">
        <f>E11/'Basis-Annahmen'!G34*((1-'Basis-Annahmen'!H19)^5)*'Basis-Annahmen'!H34</f>
        <v>10421.731292324099</v>
      </c>
      <c r="G11" s="98">
        <f>F11/'Basis-Annahmen'!H34*((1-'Basis-Annahmen'!I19)^5)*'Basis-Annahmen'!I34</f>
        <v>9814.1887567984977</v>
      </c>
      <c r="H11" s="14"/>
    </row>
    <row r="12" spans="1:8" ht="19.5" customHeight="1" x14ac:dyDescent="0.2">
      <c r="B12" s="88" t="s">
        <v>104</v>
      </c>
      <c r="C12" s="96">
        <v>48715.68</v>
      </c>
      <c r="D12" s="97">
        <f>((1-'Basis-Annahmen'!F20)^(D9-C9))*((1+'Basis-Annahmen'!F9)^(D9-C9))*C12</f>
        <v>51103.704532847478</v>
      </c>
      <c r="E12" s="97">
        <f>((1-'Basis-Annahmen'!G20)^5)*((1+'Basis-Annahmen'!G9)^5)*D12</f>
        <v>57097.922073948903</v>
      </c>
      <c r="F12" s="97">
        <f>((1-'Basis-Annahmen'!H20)^5)*((1+'Basis-Annahmen'!H9)^5)*E12</f>
        <v>63795.23236064479</v>
      </c>
      <c r="G12" s="98">
        <f>((1-'Basis-Annahmen'!I20)^5)*((1+'Basis-Annahmen'!I9)^5)*F12</f>
        <v>71278.104773720537</v>
      </c>
      <c r="H12" s="14"/>
    </row>
    <row r="13" spans="1:8" ht="19.5" customHeight="1" x14ac:dyDescent="0.2">
      <c r="B13" s="88" t="s">
        <v>7</v>
      </c>
      <c r="C13" s="96">
        <v>1849.14</v>
      </c>
      <c r="D13" s="97">
        <f>C13*((1-'Basis-Annahmen'!F20)^(D9-C9))</f>
        <v>1494.0733975985786</v>
      </c>
      <c r="E13" s="97">
        <f>D13*((1-'Basis-Annahmen'!G20)^5)</f>
        <v>1385.32950999888</v>
      </c>
      <c r="F13" s="97">
        <f>E13*((1-'Basis-Annahmen'!H20)^5)</f>
        <v>1284.5003828850467</v>
      </c>
      <c r="G13" s="98">
        <f>F13*((1-'Basis-Annahmen'!I20)^5)</f>
        <v>1191.0099523059791</v>
      </c>
      <c r="H13" s="14"/>
    </row>
    <row r="14" spans="1:8" ht="19.5" customHeight="1" x14ac:dyDescent="0.2">
      <c r="B14" s="88" t="s">
        <v>8</v>
      </c>
      <c r="C14" s="96"/>
      <c r="D14" s="97">
        <f>'Basis-Annahmen'!F46*'Basis-Annahmen'!F51+'Basis-Annahmen'!F47*'Basis-Annahmen'!F52</f>
        <v>1225.8806722689076</v>
      </c>
      <c r="E14" s="97">
        <f>'Basis-Annahmen'!G46*'Basis-Annahmen'!G51+'Basis-Annahmen'!G47*'Basis-Annahmen'!G52</f>
        <v>7473.9176470588227</v>
      </c>
      <c r="F14" s="97">
        <f>'Basis-Annahmen'!H46*'Basis-Annahmen'!H51+'Basis-Annahmen'!H47*'Basis-Annahmen'!H52</f>
        <v>15185.102521008403</v>
      </c>
      <c r="G14" s="98">
        <f>'Basis-Annahmen'!I46*'Basis-Annahmen'!I51+'Basis-Annahmen'!I47*'Basis-Annahmen'!I52</f>
        <v>25703.949579831933</v>
      </c>
      <c r="H14" s="14"/>
    </row>
    <row r="15" spans="1:8" ht="19.5" customHeight="1" x14ac:dyDescent="0.2">
      <c r="B15" s="90" t="s">
        <v>72</v>
      </c>
      <c r="C15" s="99"/>
      <c r="D15" s="285">
        <f>Ausbauziel_Wärme!J33/'Basis-Annahmen'!E56+Ausbauziel_Wärme!J34/'Basis-Annahmen'!E57+Ausbauziel_Wärme!J30/'Basis-Annahmen'!E55</f>
        <v>0</v>
      </c>
      <c r="E15" s="285"/>
      <c r="F15" s="285"/>
      <c r="G15" s="286"/>
      <c r="H15" s="14"/>
    </row>
    <row r="16" spans="1:8" ht="19.5" customHeight="1" x14ac:dyDescent="0.2">
      <c r="B16" s="88" t="s">
        <v>186</v>
      </c>
      <c r="C16" s="106"/>
      <c r="D16" s="101">
        <f>(D10-$C$10)/$C$10</f>
        <v>-1.9095323716282378E-2</v>
      </c>
      <c r="E16" s="101">
        <f>(E10-$C$10)/$C$10</f>
        <v>0.15226681263978234</v>
      </c>
      <c r="F16" s="101">
        <f t="shared" ref="F16" si="0">(F10-$C$10)/$C$10</f>
        <v>0.35670330243664305</v>
      </c>
      <c r="G16" s="102">
        <f>(G10-$C$10)/$C$10</f>
        <v>0.61552772823641388</v>
      </c>
      <c r="H16" s="14"/>
    </row>
    <row r="17" spans="1:10" ht="19.5" customHeight="1" x14ac:dyDescent="0.2">
      <c r="B17" s="89" t="s">
        <v>97</v>
      </c>
      <c r="C17" s="107"/>
      <c r="D17" s="104">
        <f>D14/D10</f>
        <v>1.8696629219122393E-2</v>
      </c>
      <c r="E17" s="104">
        <f>E14/E10</f>
        <v>9.7036958829105582E-2</v>
      </c>
      <c r="F17" s="104">
        <f>F14/F10</f>
        <v>0.16744599666243878</v>
      </c>
      <c r="G17" s="105">
        <f>G14/G10</f>
        <v>0.23802762688034904</v>
      </c>
      <c r="H17" s="14"/>
    </row>
    <row r="18" spans="1:10" x14ac:dyDescent="0.2">
      <c r="B18" s="14"/>
      <c r="C18" s="14"/>
      <c r="D18" s="14"/>
      <c r="E18" s="14"/>
      <c r="F18" s="14"/>
      <c r="G18" s="14"/>
      <c r="H18" s="14"/>
    </row>
    <row r="19" spans="1:10" ht="20.100000000000001" customHeight="1" x14ac:dyDescent="0.2">
      <c r="B19" s="273" t="s">
        <v>73</v>
      </c>
      <c r="C19" s="274"/>
      <c r="D19" s="274"/>
      <c r="E19" s="274"/>
      <c r="F19" s="274"/>
      <c r="G19" s="275"/>
      <c r="H19" s="14"/>
    </row>
    <row r="20" spans="1:10" s="14" customFormat="1" ht="19.5" customHeight="1" x14ac:dyDescent="0.2">
      <c r="B20" s="108"/>
      <c r="C20" s="91">
        <v>2018</v>
      </c>
      <c r="D20" s="91"/>
      <c r="E20" s="91"/>
      <c r="F20" s="91"/>
      <c r="G20" s="92"/>
    </row>
    <row r="21" spans="1:10" s="14" customFormat="1" ht="19.5" customHeight="1" x14ac:dyDescent="0.2">
      <c r="B21" s="120" t="s">
        <v>22</v>
      </c>
      <c r="C21" s="121">
        <v>4495</v>
      </c>
      <c r="G21" s="111"/>
    </row>
    <row r="22" spans="1:10" s="14" customFormat="1" ht="19.5" customHeight="1" x14ac:dyDescent="0.2">
      <c r="B22" s="110" t="s">
        <v>14</v>
      </c>
      <c r="C22" s="122"/>
      <c r="D22" s="112"/>
      <c r="E22" s="112"/>
      <c r="G22" s="82"/>
    </row>
    <row r="23" spans="1:10" s="14" customFormat="1" ht="19.5" customHeight="1" x14ac:dyDescent="0.2">
      <c r="B23" s="110" t="s">
        <v>15</v>
      </c>
      <c r="C23" s="122">
        <v>3201</v>
      </c>
      <c r="D23" s="112"/>
      <c r="E23" s="112"/>
      <c r="G23" s="82"/>
      <c r="J23" s="146"/>
    </row>
    <row r="24" spans="1:10" s="14" customFormat="1" ht="19.5" customHeight="1" x14ac:dyDescent="0.2">
      <c r="B24" s="110" t="s">
        <v>16</v>
      </c>
      <c r="C24" s="122"/>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v>1294</v>
      </c>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62348.33</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4" t="s">
        <v>72</v>
      </c>
      <c r="C32" s="284"/>
      <c r="D32" s="284"/>
      <c r="E32" s="284"/>
      <c r="F32" s="284"/>
      <c r="G32" s="284"/>
      <c r="H32" s="14"/>
    </row>
    <row r="35" spans="1:8" ht="19.5" customHeight="1" x14ac:dyDescent="0.2">
      <c r="A35" s="14"/>
      <c r="B35" s="273" t="s">
        <v>67</v>
      </c>
      <c r="C35" s="274"/>
      <c r="D35" s="274"/>
      <c r="E35" s="274"/>
      <c r="F35" s="274"/>
      <c r="G35" s="274"/>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173258</v>
      </c>
      <c r="D37" s="94">
        <f>SUM(D38:D40)</f>
        <v>196586.18956294618</v>
      </c>
      <c r="E37" s="94">
        <f>SUM(E38:E40)</f>
        <v>215723.9129360808</v>
      </c>
      <c r="F37" s="94">
        <f t="shared" ref="F37:G37" si="1">SUM(F38:F40)</f>
        <v>237720.5958121469</v>
      </c>
      <c r="G37" s="95">
        <f t="shared" si="1"/>
        <v>263131.0033340095</v>
      </c>
      <c r="H37" s="14"/>
    </row>
    <row r="38" spans="1:8" ht="19.5" customHeight="1" x14ac:dyDescent="0.2">
      <c r="A38" s="14"/>
      <c r="B38" s="113" t="s">
        <v>6</v>
      </c>
      <c r="C38" s="96">
        <v>53195.6</v>
      </c>
      <c r="D38" s="97">
        <f>C38-((('Basis-Annahmen'!$E$40*'Basis-Annahmen'!$E$34*Ausbauziel_Wärme!F$22*(D36-C36))*('Basis-Annahmen'!$E$30-'Basis-Annahmen'!F$29))/1000)+((IF('Basis-Annahmen'!F$34-'Basis-Annahmen'!E$34&lt;0,0,('Basis-Annahmen'!F$34-'Basis-Annahmen'!E$34)*('Basis-Annahmen'!$E$40*'Basis-Annahmen'!F28/1000))))</f>
        <v>52063.199999999997</v>
      </c>
      <c r="E38" s="97">
        <f>D38-((('Basis-Annahmen'!$E$40*'Basis-Annahmen'!$E$34*Ausbauziel_Wärme!G$22*5)*('Basis-Annahmen'!$E$30-'Basis-Annahmen'!G$29))/1000)+((IF('Basis-Annahmen'!G$34-'Basis-Annahmen'!F$34&lt;0,0,('Basis-Annahmen'!G$34-'Basis-Annahmen'!F$34)*('Basis-Annahmen'!$E$40*'Basis-Annahmen'!G28/1000))))</f>
        <v>50717.2</v>
      </c>
      <c r="F38" s="97">
        <f>E38-((('Basis-Annahmen'!$E$40*'Basis-Annahmen'!$E$34*Ausbauziel_Wärme!H$22*5)*('Basis-Annahmen'!$E$30-'Basis-Annahmen'!H$29))/1000)+((IF('Basis-Annahmen'!H$34-'Basis-Annahmen'!G$34&lt;0,0,('Basis-Annahmen'!H$34-'Basis-Annahmen'!G$34)*('Basis-Annahmen'!$E$40*'Basis-Annahmen'!H28/1000))))</f>
        <v>49251.199999999997</v>
      </c>
      <c r="G38" s="98">
        <f>F38-((('Basis-Annahmen'!$E$40*'Basis-Annahmen'!$E$34*Ausbauziel_Wärme!I$22*5)*('Basis-Annahmen'!$E$30-'Basis-Annahmen'!I$29))/1000)+((IF('Basis-Annahmen'!I$34-'Basis-Annahmen'!H$34&lt;0,0,('Basis-Annahmen'!I$34-'Basis-Annahmen'!H$34)*('Basis-Annahmen'!$E$40*'Basis-Annahmen'!I28/1000))))</f>
        <v>47785.2</v>
      </c>
      <c r="H38" s="14"/>
    </row>
    <row r="39" spans="1:8" ht="19.5" customHeight="1" x14ac:dyDescent="0.2">
      <c r="A39" s="14"/>
      <c r="B39" s="113" t="s">
        <v>104</v>
      </c>
      <c r="C39" s="96">
        <v>115579.99</v>
      </c>
      <c r="D39" s="97">
        <f>C39*((1-'Basis-Annahmen'!F$24)^(D36-C36))*((1+'Basis-Annahmen'!F$9)^(D36-C36))</f>
        <v>139865.46364322689</v>
      </c>
      <c r="E39" s="97">
        <f>((1-'Basis-Annahmen'!G$24)^5)*((1+'Basis-Annahmen'!G$9)^5)*'Nachfrage &amp; Erzeugung'!D39</f>
        <v>160277.7473259292</v>
      </c>
      <c r="F39" s="97">
        <f>((1-'Basis-Annahmen'!H$24)^5)*((1+'Basis-Annahmen'!H$9)^5)*'Nachfrage &amp; Erzeugung'!E39</f>
        <v>183669.04608704965</v>
      </c>
      <c r="G39" s="98">
        <f>((1-'Basis-Annahmen'!I$24)^5)*((1+'Basis-Annahmen'!I$9)^5)*'Nachfrage &amp; Erzeugung'!F39</f>
        <v>210474.12415852779</v>
      </c>
      <c r="H39" s="14"/>
    </row>
    <row r="40" spans="1:8" ht="19.5" customHeight="1" x14ac:dyDescent="0.2">
      <c r="A40" s="14"/>
      <c r="B40" s="113" t="s">
        <v>7</v>
      </c>
      <c r="C40" s="96">
        <v>4482</v>
      </c>
      <c r="D40" s="97">
        <f>C40+(C40*'Basis-Annahmen'!F36)*((1-'Basis-Annahmen'!F24)^(D36-C36))</f>
        <v>4657.5259197192909</v>
      </c>
      <c r="E40" s="97">
        <f>D40+(D40*'Basis-Annahmen'!G36)*((1-'Basis-Annahmen'!G24)^5)</f>
        <v>4728.9656101516193</v>
      </c>
      <c r="F40" s="97">
        <f>E40+(E40*'Basis-Annahmen'!H36)*((1-'Basis-Annahmen'!H24)^5)</f>
        <v>4800.3497250972296</v>
      </c>
      <c r="G40" s="98">
        <f>F40+(F40*'Basis-Annahmen'!I36)*((1-'Basis-Annahmen'!I24)^5)</f>
        <v>4871.6791754817241</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0.13464422746970517</v>
      </c>
      <c r="E42" s="104">
        <f>(E37-$C$37)/$C$37</f>
        <v>0.24510217673112236</v>
      </c>
      <c r="F42" s="104">
        <f>(F37-$C$37)/$C$37</f>
        <v>0.37206129478665861</v>
      </c>
      <c r="G42" s="105">
        <f>(G37-$C$37)/$C$37</f>
        <v>0.51872354138919696</v>
      </c>
      <c r="H42" s="14"/>
    </row>
    <row r="43" spans="1:8" x14ac:dyDescent="0.2">
      <c r="A43" s="14"/>
      <c r="B43" s="14"/>
      <c r="C43" s="14"/>
      <c r="D43" s="14"/>
      <c r="E43" s="14"/>
      <c r="F43" s="14"/>
      <c r="G43" s="14"/>
      <c r="H43" s="14"/>
    </row>
    <row r="44" spans="1:8" ht="19.5" customHeight="1" x14ac:dyDescent="0.2">
      <c r="A44" s="14"/>
      <c r="B44" s="273" t="s">
        <v>75</v>
      </c>
      <c r="C44" s="274"/>
      <c r="D44" s="274"/>
      <c r="E44" s="274"/>
      <c r="F44" s="274"/>
      <c r="G44" s="275"/>
      <c r="H44" s="14"/>
    </row>
    <row r="45" spans="1:8" ht="19.5" customHeight="1" x14ac:dyDescent="0.2">
      <c r="A45" s="14"/>
      <c r="B45" s="114"/>
      <c r="C45" s="91">
        <v>2018</v>
      </c>
      <c r="D45" s="91"/>
      <c r="E45" s="91"/>
      <c r="F45" s="91"/>
      <c r="G45" s="92"/>
      <c r="H45" s="14"/>
    </row>
    <row r="46" spans="1:8" ht="19.5" customHeight="1" x14ac:dyDescent="0.2">
      <c r="A46" s="14"/>
      <c r="B46" s="118" t="s">
        <v>56</v>
      </c>
      <c r="C46" s="119">
        <v>11218</v>
      </c>
      <c r="D46" s="117"/>
      <c r="E46" s="100"/>
      <c r="F46" s="100"/>
      <c r="G46" s="82"/>
      <c r="H46" s="14"/>
    </row>
    <row r="47" spans="1:8" ht="19.5" customHeight="1" x14ac:dyDescent="0.2">
      <c r="A47" s="72"/>
      <c r="B47" s="124" t="s">
        <v>76</v>
      </c>
      <c r="C47" s="125">
        <f>IF(C37-C46&lt;0,0,C37-C46)</f>
        <v>162040</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3" t="s">
        <v>138</v>
      </c>
      <c r="C50" s="274"/>
      <c r="D50" s="274"/>
      <c r="E50" s="274"/>
      <c r="F50" s="274"/>
      <c r="G50" s="275"/>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194</v>
      </c>
      <c r="C52" s="167">
        <v>1.4975238821109413E-2</v>
      </c>
      <c r="D52" s="167">
        <v>0</v>
      </c>
      <c r="E52" s="167">
        <v>0</v>
      </c>
      <c r="F52" s="168">
        <f>1-D52</f>
        <v>1</v>
      </c>
      <c r="G52" s="95"/>
      <c r="H52" s="14"/>
    </row>
    <row r="53" spans="1:8" ht="19.5" customHeight="1" x14ac:dyDescent="0.2">
      <c r="A53" s="14"/>
      <c r="B53" s="166" t="s">
        <v>195</v>
      </c>
      <c r="C53" s="167">
        <v>2.3678358755991732E-4</v>
      </c>
      <c r="D53" s="167">
        <v>0</v>
      </c>
      <c r="E53" s="167">
        <v>0</v>
      </c>
      <c r="F53" s="168">
        <f t="shared" ref="F53:F68" si="2">1-D53</f>
        <v>1</v>
      </c>
      <c r="G53" s="95"/>
      <c r="H53" s="14"/>
    </row>
    <row r="54" spans="1:8" ht="19.5" customHeight="1" x14ac:dyDescent="0.2">
      <c r="A54" s="14"/>
      <c r="B54" s="166" t="s">
        <v>196</v>
      </c>
      <c r="C54" s="167">
        <v>2.4922584147656912E-3</v>
      </c>
      <c r="D54" s="167">
        <v>0</v>
      </c>
      <c r="E54" s="167">
        <v>0</v>
      </c>
      <c r="F54" s="168">
        <f t="shared" si="2"/>
        <v>1</v>
      </c>
      <c r="G54" s="95"/>
      <c r="H54" s="14"/>
    </row>
    <row r="55" spans="1:8" ht="19.5" customHeight="1" x14ac:dyDescent="0.2">
      <c r="A55" s="14"/>
      <c r="B55" s="166" t="s">
        <v>197</v>
      </c>
      <c r="C55" s="167">
        <v>0.13628118775430609</v>
      </c>
      <c r="D55" s="167">
        <v>0</v>
      </c>
      <c r="E55" s="167">
        <v>0</v>
      </c>
      <c r="F55" s="168">
        <f t="shared" si="2"/>
        <v>1</v>
      </c>
      <c r="G55" s="95"/>
      <c r="H55" s="14"/>
    </row>
    <row r="56" spans="1:8" ht="19.5" customHeight="1" x14ac:dyDescent="0.2">
      <c r="A56" s="14"/>
      <c r="B56" s="166" t="s">
        <v>198</v>
      </c>
      <c r="C56" s="167">
        <v>0.84571220388980284</v>
      </c>
      <c r="D56" s="167">
        <v>0</v>
      </c>
      <c r="E56" s="167">
        <v>0</v>
      </c>
      <c r="F56" s="168">
        <f t="shared" si="2"/>
        <v>1</v>
      </c>
      <c r="G56" s="95"/>
      <c r="H56" s="14"/>
    </row>
    <row r="57" spans="1:8" ht="19.5" customHeight="1" x14ac:dyDescent="0.2">
      <c r="A57" s="14"/>
      <c r="B57" s="166" t="s">
        <v>199</v>
      </c>
      <c r="C57" s="167">
        <v>3.0232753245606678E-4</v>
      </c>
      <c r="D57" s="167">
        <v>0</v>
      </c>
      <c r="E57" s="167">
        <v>0</v>
      </c>
      <c r="F57" s="168">
        <f t="shared" si="2"/>
        <v>1</v>
      </c>
      <c r="G57" s="95"/>
      <c r="H57" s="14"/>
    </row>
    <row r="58" spans="1:8" ht="19.5" customHeight="1" x14ac:dyDescent="0.2">
      <c r="A58" s="14"/>
      <c r="B58" s="166"/>
      <c r="C58" s="167">
        <v>0</v>
      </c>
      <c r="D58" s="167">
        <v>0</v>
      </c>
      <c r="E58" s="167">
        <v>0</v>
      </c>
      <c r="F58" s="168">
        <f t="shared" si="2"/>
        <v>1</v>
      </c>
      <c r="G58" s="95"/>
      <c r="H58" s="14"/>
    </row>
    <row r="59" spans="1:8" ht="19.5" customHeight="1" x14ac:dyDescent="0.2">
      <c r="A59" s="14"/>
      <c r="B59" s="166"/>
      <c r="C59" s="167">
        <v>0</v>
      </c>
      <c r="D59" s="167">
        <v>0</v>
      </c>
      <c r="E59" s="167">
        <v>0</v>
      </c>
      <c r="F59" s="168">
        <f t="shared" si="2"/>
        <v>1</v>
      </c>
      <c r="G59" s="95"/>
      <c r="H59" s="14"/>
    </row>
    <row r="60" spans="1:8" ht="19.5" customHeight="1" x14ac:dyDescent="0.2">
      <c r="A60" s="14"/>
      <c r="B60" s="166"/>
      <c r="C60" s="167">
        <v>0</v>
      </c>
      <c r="D60" s="167">
        <v>0</v>
      </c>
      <c r="E60" s="167">
        <v>0</v>
      </c>
      <c r="F60" s="168">
        <f t="shared" si="2"/>
        <v>1</v>
      </c>
      <c r="G60" s="95"/>
      <c r="H60" s="14"/>
    </row>
    <row r="61" spans="1:8" ht="19.5" customHeight="1" x14ac:dyDescent="0.2">
      <c r="A61" s="14"/>
      <c r="B61" s="166"/>
      <c r="C61" s="167">
        <v>0</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8" t="s">
        <v>26</v>
      </c>
      <c r="B2" s="278"/>
      <c r="C2" s="278"/>
      <c r="D2" s="278"/>
      <c r="E2" s="278"/>
      <c r="F2" s="278"/>
    </row>
    <row r="5" spans="1:6" ht="34.5" customHeight="1" x14ac:dyDescent="0.25">
      <c r="A5" s="129"/>
      <c r="B5" s="283" t="s">
        <v>22</v>
      </c>
      <c r="C5" s="283"/>
      <c r="D5" s="283"/>
      <c r="E5" s="283"/>
      <c r="F5" s="129"/>
    </row>
    <row r="8" spans="1:6" ht="19.5" customHeight="1" x14ac:dyDescent="0.25">
      <c r="B8" s="273" t="s">
        <v>0</v>
      </c>
      <c r="C8" s="274"/>
      <c r="D8" s="274"/>
      <c r="E8" s="275"/>
    </row>
    <row r="9" spans="1:6" s="130" customFormat="1" ht="19.5" customHeight="1" x14ac:dyDescent="0.25">
      <c r="B9" s="303" t="s">
        <v>19</v>
      </c>
      <c r="C9" s="304"/>
      <c r="D9" s="93">
        <f>D11*D10</f>
        <v>18000</v>
      </c>
      <c r="E9" s="131" t="s">
        <v>13</v>
      </c>
    </row>
    <row r="10" spans="1:6" s="130" customFormat="1" ht="19.5" customHeight="1" x14ac:dyDescent="0.25">
      <c r="B10" s="295" t="s">
        <v>129</v>
      </c>
      <c r="C10" s="296"/>
      <c r="D10" s="96">
        <v>2</v>
      </c>
      <c r="E10" s="145" t="s">
        <v>130</v>
      </c>
    </row>
    <row r="11" spans="1:6" s="130" customFormat="1" ht="19.5" customHeight="1" x14ac:dyDescent="0.25">
      <c r="B11" s="305" t="s">
        <v>12</v>
      </c>
      <c r="C11" s="306"/>
      <c r="D11" s="142">
        <v>9000</v>
      </c>
      <c r="E11" s="141" t="s">
        <v>13</v>
      </c>
    </row>
    <row r="12" spans="1:6" s="130" customFormat="1" ht="12.75" x14ac:dyDescent="0.25">
      <c r="D12" s="132"/>
    </row>
    <row r="13" spans="1:6" ht="15.75" x14ac:dyDescent="0.25">
      <c r="B13" s="273" t="s">
        <v>114</v>
      </c>
      <c r="C13" s="274"/>
      <c r="D13" s="274"/>
      <c r="E13" s="275"/>
    </row>
    <row r="14" spans="1:6" s="130" customFormat="1" ht="19.5" customHeight="1" x14ac:dyDescent="0.25">
      <c r="B14" s="299" t="s">
        <v>19</v>
      </c>
      <c r="C14" s="300"/>
      <c r="D14" s="93">
        <f>D15*D18</f>
        <v>34374.483945</v>
      </c>
      <c r="E14" s="133" t="s">
        <v>13</v>
      </c>
    </row>
    <row r="15" spans="1:6" s="130" customFormat="1" ht="19.5" customHeight="1" x14ac:dyDescent="0.25">
      <c r="B15" s="297" t="s">
        <v>151</v>
      </c>
      <c r="C15" s="298"/>
      <c r="D15" s="173">
        <v>229163.22630000001</v>
      </c>
      <c r="E15" s="135" t="s">
        <v>30</v>
      </c>
    </row>
    <row r="16" spans="1:6" s="130" customFormat="1" ht="19.5" customHeight="1" x14ac:dyDescent="0.25">
      <c r="B16" s="297" t="s">
        <v>20</v>
      </c>
      <c r="C16" s="298"/>
      <c r="D16" s="134">
        <v>6</v>
      </c>
      <c r="E16" s="135" t="s">
        <v>122</v>
      </c>
      <c r="F16" s="136"/>
    </row>
    <row r="17" spans="2:6" s="130" customFormat="1" ht="19.5" customHeight="1" x14ac:dyDescent="0.25">
      <c r="B17" s="297" t="s">
        <v>153</v>
      </c>
      <c r="C17" s="298"/>
      <c r="D17" s="137">
        <v>900</v>
      </c>
      <c r="E17" s="135" t="s">
        <v>119</v>
      </c>
    </row>
    <row r="18" spans="2:6" s="130" customFormat="1" ht="19.5" customHeight="1" x14ac:dyDescent="0.25">
      <c r="B18" s="287" t="s">
        <v>152</v>
      </c>
      <c r="C18" s="288"/>
      <c r="D18" s="138">
        <f>(D17/D16)/1000</f>
        <v>0.15</v>
      </c>
      <c r="E18" s="139" t="s">
        <v>123</v>
      </c>
    </row>
    <row r="19" spans="2:6" x14ac:dyDescent="0.25">
      <c r="D19" s="4"/>
    </row>
    <row r="20" spans="2:6" ht="15.75" x14ac:dyDescent="0.25">
      <c r="B20" s="273" t="s">
        <v>115</v>
      </c>
      <c r="C20" s="274"/>
      <c r="D20" s="274"/>
      <c r="E20" s="275"/>
    </row>
    <row r="21" spans="2:6" s="132" customFormat="1" ht="19.5" customHeight="1" x14ac:dyDescent="0.25">
      <c r="B21" s="299" t="s">
        <v>19</v>
      </c>
      <c r="C21" s="300"/>
      <c r="D21" s="93">
        <f>D22*D25</f>
        <v>254160</v>
      </c>
      <c r="E21" s="133" t="s">
        <v>13</v>
      </c>
    </row>
    <row r="22" spans="2:6" s="132" customFormat="1" ht="19.5" customHeight="1" x14ac:dyDescent="0.25">
      <c r="B22" s="297" t="s">
        <v>150</v>
      </c>
      <c r="C22" s="298"/>
      <c r="D22" s="96">
        <v>353</v>
      </c>
      <c r="E22" s="135" t="s">
        <v>10</v>
      </c>
    </row>
    <row r="23" spans="2:6" s="132" customFormat="1" ht="19.5" customHeight="1" x14ac:dyDescent="0.25">
      <c r="B23" s="301" t="s">
        <v>116</v>
      </c>
      <c r="C23" s="302"/>
      <c r="D23" s="137">
        <v>800</v>
      </c>
      <c r="E23" s="135" t="s">
        <v>118</v>
      </c>
    </row>
    <row r="24" spans="2:6" s="132" customFormat="1" ht="19.5" customHeight="1" x14ac:dyDescent="0.25">
      <c r="B24" s="297" t="s">
        <v>149</v>
      </c>
      <c r="C24" s="298"/>
      <c r="D24" s="137">
        <v>900</v>
      </c>
      <c r="E24" s="135" t="s">
        <v>119</v>
      </c>
    </row>
    <row r="25" spans="2:6" s="132" customFormat="1" ht="19.5" customHeight="1" x14ac:dyDescent="0.25">
      <c r="B25" s="287" t="s">
        <v>148</v>
      </c>
      <c r="C25" s="288"/>
      <c r="D25" s="125">
        <f>D23*D24/1000</f>
        <v>720</v>
      </c>
      <c r="E25" s="139" t="s">
        <v>120</v>
      </c>
    </row>
    <row r="27" spans="2:6" ht="15.75" x14ac:dyDescent="0.25">
      <c r="B27" s="273" t="s">
        <v>117</v>
      </c>
      <c r="C27" s="274"/>
      <c r="D27" s="274"/>
      <c r="E27" s="275"/>
    </row>
    <row r="28" spans="2:6" s="130" customFormat="1" ht="19.5" customHeight="1" x14ac:dyDescent="0.25">
      <c r="B28" s="289" t="s">
        <v>116</v>
      </c>
      <c r="C28" s="290"/>
      <c r="D28" s="137">
        <v>300</v>
      </c>
      <c r="E28" s="135" t="s">
        <v>118</v>
      </c>
      <c r="F28" s="140"/>
    </row>
    <row r="29" spans="2:6" s="130" customFormat="1" ht="19.5" customHeight="1" x14ac:dyDescent="0.25">
      <c r="B29" s="291" t="s">
        <v>149</v>
      </c>
      <c r="C29" s="292"/>
      <c r="D29" s="137">
        <v>900</v>
      </c>
      <c r="E29" s="135" t="s">
        <v>119</v>
      </c>
    </row>
    <row r="30" spans="2:6" s="130" customFormat="1" ht="19.5" customHeight="1" x14ac:dyDescent="0.25">
      <c r="B30" s="293" t="s">
        <v>148</v>
      </c>
      <c r="C30" s="294"/>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C866DF85-51DC-4890-B725-552665C23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